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ecklist" sheetId="2" state="visible" r:id="rId4"/>
    <sheet name="Summary" sheetId="3" state="visible" r:id="rId5"/>
  </sheets>
  <definedNames>
    <definedName function="false" hidden="false" localSheetId="1" name="_xlnm.Print_Area" vbProcedure="false">Checklist!$A$1:$L$56</definedName>
    <definedName function="false" hidden="false" localSheetId="1" name="_xlnm.Print_Titles" vbProcedure="false">Checklist!$11:$11</definedName>
    <definedName function="false" hidden="true" localSheetId="1" name="_xlnm._FilterDatabase" vbProcedure="false">Checklist!$A$11:$L$56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<sst xmlns="http://schemas.openxmlformats.org/spreadsheetml/2006/main" count="413" uniqueCount="264">
  <si>
    <t xml:space="preserve">Access Policy Checklist</t>
  </si>
  <si>
    <t xml:space="preserve">Version 1.0  |  dataintelligenceinsights.com  |  Free resource</t>
  </si>
  <si>
    <t xml:space="preserve">What it is</t>
  </si>
  <si>
    <t xml:space="preserve">A quick-reference checklist of 41 access-policy controls for data. Use it to check whether an access control policy - and the way it is actually applied to data stores and platforms - covers the controls a data governance or security practitioner would expect to see.</t>
  </si>
  <si>
    <t xml:space="preserve">Who it is for</t>
  </si>
  <si>
    <t xml:space="preserve">Data governance, information security and data platform practitioners who write, review or audit access policies for data.</t>
  </si>
  <si>
    <t xml:space="preserve">When to use it</t>
  </si>
  <si>
    <t xml:space="preserve">Drafting or refreshing an access policy; preparing for an internal or external audit; onboarding a new data platform; a quick health check after an incident or reorganisation.</t>
  </si>
  <si>
    <t xml:space="preserve">What you provide</t>
  </si>
  <si>
    <t xml:space="preserve">Your judgement of each control's status, based on evidence. The 'What good looks like' column tells you what evidence to look for. Record what you saw in 'Evidence / notes'.</t>
  </si>
  <si>
    <t xml:space="preserve">What you get</t>
  </si>
  <si>
    <t xml:space="preserve">A per-control result, a domain-by-domain summary, completion and coverage figures, and an automatic list of priority gaps (Essential controls not fully met).</t>
  </si>
  <si>
    <t xml:space="preserve">How to use it</t>
  </si>
  <si>
    <t xml:space="preserve">1. On the 'Checklist' sheet, fill in the assessment details at the top (policy assessed, version, assessor, date).</t>
  </si>
  <si>
    <t xml:space="preserve">2. For each control, read 'What good looks like', check the evidence, then choose a Status from the drop-down list.</t>
  </si>
  <si>
    <t xml:space="preserve">3. Record the evidence you relied on (document name, system, sample checked). A 'Met' with no evidence is flagged so it can be followed up.</t>
  </si>
  <si>
    <t xml:space="preserve">4. Add up to four of your own controls in the 'Organisation-specific' rows at the bottom of the checklist (enter ID, control text and priority).</t>
  </si>
  <si>
    <t xml:space="preserve">5. For anything not met, assign an owner and target date. Review the 'Summary' sheet for coverage by domain and the priority gap list.</t>
  </si>
  <si>
    <t xml:space="preserve">Status definitions (your input)</t>
  </si>
  <si>
    <t xml:space="preserve">Met</t>
  </si>
  <si>
    <t xml:space="preserve">The control is defined in the policy AND you have seen evidence it operates in practice.</t>
  </si>
  <si>
    <t xml:space="preserve">Partially met</t>
  </si>
  <si>
    <t xml:space="preserve">The control is defined but not consistently applied, or applied but not documented, or covers only some in-scope data.</t>
  </si>
  <si>
    <t xml:space="preserve">Not met</t>
  </si>
  <si>
    <t xml:space="preserve">The control is absent, or exists only informally with no evidence.</t>
  </si>
  <si>
    <t xml:space="preserve">Not applicable</t>
  </si>
  <si>
    <t xml:space="preserve">The control genuinely does not apply to the scope assessed (record why in 'Evidence / notes'). Excluded from coverage figures.</t>
  </si>
  <si>
    <t xml:space="preserve">(blank)</t>
  </si>
  <si>
    <t xml:space="preserve">Not yet assessed. Blank is never treated as Met - it is reported as 'Not assessed' and keeps the assessment marked incomplete.</t>
  </si>
  <si>
    <t xml:space="preserve">How results are derived</t>
  </si>
  <si>
    <t xml:space="preserve">Result</t>
  </si>
  <si>
    <t xml:space="preserve">'OK' when Met (shown as 'OK - evidence not recorded' if the evidence cell is empty); 'Priority gap' when an Essential control is Partially met or Not met; 'Gap' when a Recommended control is Partially met or Not met; 'N/A' when Not applicable; 'Not assessed' when blank.</t>
  </si>
  <si>
    <t xml:space="preserve">Completion</t>
  </si>
  <si>
    <t xml:space="preserve">Controls with any status entered ÷ all controls in the checklist (including organisation-specific rows that have control text).</t>
  </si>
  <si>
    <t xml:space="preserve">Coverage (Met rate)</t>
  </si>
  <si>
    <t xml:space="preserve">Met ÷ (Met + Partially met + Not met). Not applicable and unassessed controls are excluded. Shown as '-' until at least one applicable control is assessed.</t>
  </si>
  <si>
    <t xml:space="preserve">Priority</t>
  </si>
  <si>
    <t xml:space="preserve">Essential = a baseline control whose absence leaves a direct route to unauthorised or unaccountable access to data; most align with CIS Controls Implementation Group 1 safeguards and core ISO/IEC 27001:2022 access controls. Recommended = strengthens assurance, scale or efficiency. Adjust to your own risk appetite if needed.</t>
  </si>
  <si>
    <t xml:space="preserve">Framework references</t>
  </si>
  <si>
    <t xml:space="preserve">Each control shows the most relevant ISO/IEC 27001:2022 Annex A control(s) and CIS Critical Security Controls v8.1 safeguard(s). These are indicative cross-references to help you locate related requirements - they are not a certification mapping, and meeting a control here does not by itself demonstrate conformity with either framework. '-' means there is no single directly corresponding item.</t>
  </si>
  <si>
    <t xml:space="preserve">Example of a completed row  [EXAMPLE]</t>
  </si>
  <si>
    <t xml:space="preserve">Control</t>
  </si>
  <si>
    <t xml:space="preserve">LCM-04  Leaver: access is revoked within a timeframe stated in the policy...</t>
  </si>
  <si>
    <t xml:space="preserve">Status</t>
  </si>
  <si>
    <t xml:space="preserve">Result (automatic)</t>
  </si>
  <si>
    <t xml:space="preserve">Priority gap</t>
  </si>
  <si>
    <t xml:space="preserve">Evidence / notes</t>
  </si>
  <si>
    <t xml:space="preserve">[EXAMPLE] Policy states 1 working day. Sample of 10 leavers (Q2): 7 disabled within 1 day, 3 took 6-12 days - all contractors, whose end dates are not fed from HR.</t>
  </si>
  <si>
    <t xml:space="preserve">Owner / target</t>
  </si>
  <si>
    <t xml:space="preserve">[EXAMPLE] Identity team lead / end of next quarter</t>
  </si>
  <si>
    <t xml:space="preserve">Important</t>
  </si>
  <si>
    <t xml:space="preserve">This checklist supports your own professional judgement. It is not legal or regulatory advice and does not by itself demonstrate compliance with any law, standard or contract. You are responsible for the evidence you rely on and for validating the results.</t>
  </si>
  <si>
    <t xml:space="preserve">This resource is provided under the dataintelligenceinsights.com Standard Use Licence v1.0. © dataintelligenceinsights.com. All rights reserved.</t>
  </si>
  <si>
    <t xml:space="preserve">Select a Status for each control. Shaded cells are for your input; Result is calculated.</t>
  </si>
  <si>
    <t xml:space="preserve">Policy / scope assessed</t>
  </si>
  <si>
    <t xml:space="preserve">Policy version</t>
  </si>
  <si>
    <t xml:space="preserve">Assessed by</t>
  </si>
  <si>
    <t xml:space="preserve">Assessment date</t>
  </si>
  <si>
    <t xml:space="preserve">ID</t>
  </si>
  <si>
    <t xml:space="preserve">Domain</t>
  </si>
  <si>
    <t xml:space="preserve">What good looks like (evidence to check)</t>
  </si>
  <si>
    <t xml:space="preserve">ISO/IEC 27001:2022 Annex A</t>
  </si>
  <si>
    <t xml:space="preserve">CIS Controls v8.1</t>
  </si>
  <si>
    <t xml:space="preserve">Owner</t>
  </si>
  <si>
    <t xml:space="preserve">Target date</t>
  </si>
  <si>
    <t xml:space="preserve">Gap #</t>
  </si>
  <si>
    <t xml:space="preserve">GOV-01</t>
  </si>
  <si>
    <t xml:space="preserve">Policy foundation &amp; governance</t>
  </si>
  <si>
    <t xml:space="preserve">A documented access control policy exists, is approved by management, and explicitly covers data assets (databases, data platforms, file stores, SaaS data, analytics tools) - not only IT systems.</t>
  </si>
  <si>
    <t xml:space="preserve">Approved policy with version, approver and approval date. Scope statement names the data platforms and data stores it governs.</t>
  </si>
  <si>
    <t xml:space="preserve">Essential</t>
  </si>
  <si>
    <t xml:space="preserve">5.1, 5.15</t>
  </si>
  <si>
    <t xml:space="preserve">-</t>
  </si>
  <si>
    <t xml:space="preserve">GOV-02</t>
  </si>
  <si>
    <t xml:space="preserve">The policy has a named owner and a defined review interval, and it has been reviewed within that interval or after significant change.</t>
  </si>
  <si>
    <t xml:space="preserve">Owner named in the document. Last review date falls within the stated interval (annual review is the common baseline).</t>
  </si>
  <si>
    <t xml:space="preserve">5.1</t>
  </si>
  <si>
    <t xml:space="preserve">GOV-03</t>
  </si>
  <si>
    <t xml:space="preserve">Access decision roles are defined: data owners approve access to their data; administrators implement it; line managers confirm business need.</t>
  </si>
  <si>
    <t xml:space="preserve">RACI or role definitions in the policy or supporting procedure. Approval records show the data owner, not only IT, approving.</t>
  </si>
  <si>
    <t xml:space="preserve">5.2, 5.15</t>
  </si>
  <si>
    <t xml:space="preserve">GOV-04</t>
  </si>
  <si>
    <t xml:space="preserve">A documented exception process exists: exceptions are risk-assessed, approved by an accountable owner, time-limited and recorded in a register.</t>
  </si>
  <si>
    <t xml:space="preserve">Exception register with approver, rationale, compensating controls and expiry date. No open exceptions past expiry.</t>
  </si>
  <si>
    <t xml:space="preserve">Recommended</t>
  </si>
  <si>
    <t xml:space="preserve">5.15</t>
  </si>
  <si>
    <t xml:space="preserve">GOV-05</t>
  </si>
  <si>
    <t xml:space="preserve">The policy is communicated to everyone with access to in-scope data, and acknowledgement is recorded.</t>
  </si>
  <si>
    <t xml:space="preserve">Acknowledgement records (e.g. onboarding sign-off, annual attestation) for staff and contractors with data access.</t>
  </si>
  <si>
    <t xml:space="preserve">5.1, 5.10</t>
  </si>
  <si>
    <t xml:space="preserve">14.1</t>
  </si>
  <si>
    <t xml:space="preserve">CLS-01</t>
  </si>
  <si>
    <t xml:space="preserve">Classification &amp; ownership</t>
  </si>
  <si>
    <t xml:space="preserve">In-scope data assets are inventoried and every asset has an assigned, accountable owner.</t>
  </si>
  <si>
    <t xml:space="preserve">Data inventory or catalogue listing data stores/datasets with a named owner (a person or role, not a team mailbox).</t>
  </si>
  <si>
    <t xml:space="preserve">5.9</t>
  </si>
  <si>
    <t xml:space="preserve">3.2</t>
  </si>
  <si>
    <t xml:space="preserve">CLS-02</t>
  </si>
  <si>
    <t xml:space="preserve">A data classification scheme is defined and the access rules are tied to classification level (who may access each level, and under what conditions).</t>
  </si>
  <si>
    <t xml:space="preserve">Classification scheme in the policy or a linked standard, with explicit access conditions per level (e.g. Restricted requires owner approval and MFA).</t>
  </si>
  <si>
    <t xml:space="preserve">5.12, 5.15</t>
  </si>
  <si>
    <t xml:space="preserve">3.7</t>
  </si>
  <si>
    <t xml:space="preserve">CLS-03</t>
  </si>
  <si>
    <t xml:space="preserve">Classification labels are applied to data stores or datasets so that access controls can be enforced against them.</t>
  </si>
  <si>
    <t xml:space="preserve">Labels or tags visible in the catalogue/platform for a sample of sensitive datasets; label coverage reported.</t>
  </si>
  <si>
    <t xml:space="preserve">5.13</t>
  </si>
  <si>
    <t xml:space="preserve">MOD-01</t>
  </si>
  <si>
    <t xml:space="preserve">Access model</t>
  </si>
  <si>
    <t xml:space="preserve">Least privilege and need-to-know are stated policy principles, and the default position is that access is denied unless granted.</t>
  </si>
  <si>
    <t xml:space="preserve">Policy wording states least privilege and default-deny. New datasets/workspaces are created without broad default access.</t>
  </si>
  <si>
    <t xml:space="preserve">5.15, 8.3</t>
  </si>
  <si>
    <t xml:space="preserve">3.3</t>
  </si>
  <si>
    <t xml:space="preserve">MOD-02</t>
  </si>
  <si>
    <t xml:space="preserve">Access is granted through defined roles or groups (role- or attribute-based) rather than directly to individuals, and role definitions are documented.</t>
  </si>
  <si>
    <t xml:space="preserve">Role catalogue with entitlements per role. Direct user-level grants on data stores are rare and justified.</t>
  </si>
  <si>
    <t xml:space="preserve">5.15, 5.18</t>
  </si>
  <si>
    <t xml:space="preserve">6.8</t>
  </si>
  <si>
    <t xml:space="preserve">MOD-03</t>
  </si>
  <si>
    <t xml:space="preserve">Segregation of duties is defined for conflicting activities - e.g. no one approves or grants their own access; developers do not hold unrestricted production data access.</t>
  </si>
  <si>
    <t xml:space="preserve">Documented conflicting-role pairs. Sample of grants shows requester, approver and implementer are different people.</t>
  </si>
  <si>
    <t xml:space="preserve">5.3</t>
  </si>
  <si>
    <t xml:space="preserve">MOD-04</t>
  </si>
  <si>
    <t xml:space="preserve">Access restrictions are configured at the data layer (database, data platform, file store permissions) and match what the policy says.</t>
  </si>
  <si>
    <t xml:space="preserve">Permission export from a sample of data stores reconciles to approved roles/requests; no 'everyone' or organisation-wide grants on classified data.</t>
  </si>
  <si>
    <t xml:space="preserve">8.3</t>
  </si>
  <si>
    <t xml:space="preserve">LCM-01</t>
  </si>
  <si>
    <t xml:space="preserve">Identity &amp; access lifecycle</t>
  </si>
  <si>
    <t xml:space="preserve">Every user has a unique identity. Shared or generic accounts are prohibited or, where unavoidable, documented with a named accountable owner.</t>
  </si>
  <si>
    <t xml:space="preserve">Account list shows no unexplained shared/generic accounts; any exceptions are in the exception register.</t>
  </si>
  <si>
    <t xml:space="preserve">5.16</t>
  </si>
  <si>
    <t xml:space="preserve">LCM-02</t>
  </si>
  <si>
    <t xml:space="preserve">Joiner: access requests are recorded, business-justified, and approved by the data owner (or delegate) before access is granted.</t>
  </si>
  <si>
    <t xml:space="preserve">Ticket/workflow records for a sample of grants show justification and owner approval dated before the grant.</t>
  </si>
  <si>
    <t xml:space="preserve">5.18</t>
  </si>
  <si>
    <t xml:space="preserve">6.1</t>
  </si>
  <si>
    <t xml:space="preserve">LCM-03</t>
  </si>
  <si>
    <t xml:space="preserve">Mover: when a person changes role, access no longer required is removed - not only new access added.</t>
  </si>
  <si>
    <t xml:space="preserve">Role-change procedure includes removal of prior access. Sample of movers shows old entitlements removed.</t>
  </si>
  <si>
    <t xml:space="preserve">5.18, 6.5</t>
  </si>
  <si>
    <t xml:space="preserve">6.2</t>
  </si>
  <si>
    <t xml:space="preserve">LCM-04</t>
  </si>
  <si>
    <t xml:space="preserve">Leaver: access is revoked within a timeframe stated in the policy, triggered by HR or contract-end events.</t>
  </si>
  <si>
    <t xml:space="preserve">Defined revocation timeframe in the policy. Sample of leavers shows accounts disabled within that timeframe.</t>
  </si>
  <si>
    <t xml:space="preserve">LCM-05</t>
  </si>
  <si>
    <t xml:space="preserve">Dormant accounts are detected and disabled after a defined period of inactivity.</t>
  </si>
  <si>
    <t xml:space="preserve">Defined inactivity threshold (CIS Safeguard 5.3 specifies 45 days) and evidence of automated or periodic detection.</t>
  </si>
  <si>
    <t xml:space="preserve">LCM-06</t>
  </si>
  <si>
    <t xml:space="preserve">An inventory of user accounts is maintained and reconciled to authoritative HR and contractor records.</t>
  </si>
  <si>
    <t xml:space="preserve">Account inventory with reconciliation evidence; orphaned accounts (no matching person) are investigated and removed.</t>
  </si>
  <si>
    <t xml:space="preserve">AUT-01</t>
  </si>
  <si>
    <t xml:space="preserve">Authentication</t>
  </si>
  <si>
    <t xml:space="preserve">Multi-factor authentication is required for remote access and for externally exposed applications that hold or expose in-scope data.</t>
  </si>
  <si>
    <t xml:space="preserve">Identity provider/conditional-access policy enforcing MFA; exceptions listed and approved.</t>
  </si>
  <si>
    <t xml:space="preserve">8.5</t>
  </si>
  <si>
    <t xml:space="preserve">6.3, 6.4</t>
  </si>
  <si>
    <t xml:space="preserve">AUT-02</t>
  </si>
  <si>
    <t xml:space="preserve">Multi-factor authentication is required for all administrative and privileged access.</t>
  </si>
  <si>
    <t xml:space="preserve">MFA enforcement on admin roles and privileged accounts in the identity provider and on data platform consoles.</t>
  </si>
  <si>
    <t xml:space="preserve">8.2, 8.5</t>
  </si>
  <si>
    <t xml:space="preserve">6.5</t>
  </si>
  <si>
    <t xml:space="preserve">AUT-03</t>
  </si>
  <si>
    <t xml:space="preserve">Authentication to data platforms and tools is centralised (single sign-on / directory), so disabling one identity removes access everywhere.</t>
  </si>
  <si>
    <t xml:space="preserve">Data platforms federated to the central identity provider; local accounts limited to documented break-glass use.</t>
  </si>
  <si>
    <t xml:space="preserve">5.16, 8.5</t>
  </si>
  <si>
    <t xml:space="preserve">5.6, 6.7</t>
  </si>
  <si>
    <t xml:space="preserve">AUT-04</t>
  </si>
  <si>
    <t xml:space="preserve">Credential rules are defined (length, uniqueness, no default credentials) and authentication information is issued and stored securely.</t>
  </si>
  <si>
    <t xml:space="preserve">Password/credential standard; default credentials changed on all data platforms; no credentials in shared documents.</t>
  </si>
  <si>
    <t xml:space="preserve">5.17</t>
  </si>
  <si>
    <t xml:space="preserve">5.2</t>
  </si>
  <si>
    <t xml:space="preserve">PRV-01</t>
  </si>
  <si>
    <t xml:space="preserve">Privileged access</t>
  </si>
  <si>
    <t xml:space="preserve">Privileged rights (administrator, DBA, platform owner, superuser) are restricted to named individuals with documented justification.</t>
  </si>
  <si>
    <t xml:space="preserve">List of privileged role holders with justification and approver; count is proportionate to operational need.</t>
  </si>
  <si>
    <t xml:space="preserve">8.2</t>
  </si>
  <si>
    <t xml:space="preserve">5.4</t>
  </si>
  <si>
    <t xml:space="preserve">PRV-02</t>
  </si>
  <si>
    <t xml:space="preserve">Administrators use dedicated privileged accounts, separate from their everyday (email, browsing) accounts.</t>
  </si>
  <si>
    <t xml:space="preserve">Separate admin accounts exist for each administrator; everyday accounts hold no admin rights.</t>
  </si>
  <si>
    <t xml:space="preserve">PRV-03</t>
  </si>
  <si>
    <t xml:space="preserve">Privileged access is time-bound (just-in-time elevation) where the platform supports it, and emergency ('break-glass') use is logged and reviewed.</t>
  </si>
  <si>
    <t xml:space="preserve">Elevation workflow with expiry; break-glass procedure and post-use review records.</t>
  </si>
  <si>
    <t xml:space="preserve">PRV-04</t>
  </si>
  <si>
    <t xml:space="preserve">Privileged activity on data stores is logged, and those logs cannot be altered or deleted by the same administrators.</t>
  </si>
  <si>
    <t xml:space="preserve">Admin activity logs forwarded to a separately controlled log store; log access restricted.</t>
  </si>
  <si>
    <t xml:space="preserve">8.2, 8.15</t>
  </si>
  <si>
    <t xml:space="preserve">NHI-01</t>
  </si>
  <si>
    <t xml:space="preserve">Third-party &amp; non-human access</t>
  </si>
  <si>
    <t xml:space="preserve">Third-party access (vendors, contractors, partners) is approved, contractually covered, limited to the engagement scope and has an end date.</t>
  </si>
  <si>
    <t xml:space="preserve">Supplier agreements include access/security terms; third-party accounts have sponsors and expiry dates.</t>
  </si>
  <si>
    <t xml:space="preserve">5.19, 5.20</t>
  </si>
  <si>
    <t xml:space="preserve">NHI-02</t>
  </si>
  <si>
    <t xml:space="preserve">Service accounts and application identities are inventoried with a named owner and purpose, and are not used for interactive login.</t>
  </si>
  <si>
    <t xml:space="preserve">Service account inventory with owner, purpose and permissions; interactive logon blocked or monitored.</t>
  </si>
  <si>
    <t xml:space="preserve">5.5</t>
  </si>
  <si>
    <t xml:space="preserve">NHI-03</t>
  </si>
  <si>
    <t xml:space="preserve">Secrets (API keys, tokens, connection strings) are held in a managed secrets store - not in code, notebooks or shared files - and are rotated.</t>
  </si>
  <si>
    <t xml:space="preserve">Secrets manager in use; secret scanning on code repositories; rotation schedule or evidence of rotation.</t>
  </si>
  <si>
    <t xml:space="preserve">NHI-04</t>
  </si>
  <si>
    <t xml:space="preserve">AI assistants, agents and integrations that read data are covered by the policy: they run under scoped identities, cannot exceed the requesting user's entitlements, and their data access is logged.</t>
  </si>
  <si>
    <t xml:space="preserve">Policy clause covering automated and AI access; integration identities scoped to specific datasets; access logs available.</t>
  </si>
  <si>
    <t xml:space="preserve">REV-01</t>
  </si>
  <si>
    <t xml:space="preserve">Access review &amp; recertification</t>
  </si>
  <si>
    <t xml:space="preserve">Access rights are reviewed periodically by data owners or managers, at a frequency set by risk (more often for privileged access and the most sensitive data).</t>
  </si>
  <si>
    <t xml:space="preserve">Review schedule by classification/privilege; completed review records with reviewer and date. (CIS Safeguard 5.1 calls for at least quarterly validation of accounts.)</t>
  </si>
  <si>
    <t xml:space="preserve">REV-02</t>
  </si>
  <si>
    <t xml:space="preserve">Review outcomes are acted on: rights marked as no longer required are removed, and removal is evidenced.</t>
  </si>
  <si>
    <t xml:space="preserve">Review findings traced to removal tickets/changes with completion dates.</t>
  </si>
  <si>
    <t xml:space="preserve">REV-03</t>
  </si>
  <si>
    <t xml:space="preserve">Privileged accounts and service accounts are included in access reviews, not only standard user access.</t>
  </si>
  <si>
    <t xml:space="preserve">Review scope lists privileged and service accounts; review records include them.</t>
  </si>
  <si>
    <t xml:space="preserve">5.18, 8.2</t>
  </si>
  <si>
    <t xml:space="preserve">MON-01</t>
  </si>
  <si>
    <t xml:space="preserve">Logging &amp; monitoring</t>
  </si>
  <si>
    <t xml:space="preserve">Access to sensitive data stores is logged (who accessed what, when and from where) and logs are retained for a defined period.</t>
  </si>
  <si>
    <t xml:space="preserve">Audit logging enabled on data stores holding classified data; retention period defined and met.</t>
  </si>
  <si>
    <t xml:space="preserve">8.15</t>
  </si>
  <si>
    <t xml:space="preserve">MON-02</t>
  </si>
  <si>
    <t xml:space="preserve">Logs are monitored for anomalous access (e.g. bulk export, unusual hours or locations, repeated failures) with defined alert handling.</t>
  </si>
  <si>
    <t xml:space="preserve">Detection rules or alerts covering data access; evidence of alerts being triaged.</t>
  </si>
  <si>
    <t xml:space="preserve">8.16</t>
  </si>
  <si>
    <t xml:space="preserve">8.11</t>
  </si>
  <si>
    <t xml:space="preserve">MON-03</t>
  </si>
  <si>
    <t xml:space="preserve">Compliance with the policy is checked periodically (e.g. sampling grants against approvals) and exceptions are reported to the policy owner.</t>
  </si>
  <si>
    <t xml:space="preserve">Compliance check records and reports to the policy owner; actions tracked to closure.</t>
  </si>
  <si>
    <t xml:space="preserve">5.36</t>
  </si>
  <si>
    <t xml:space="preserve">DAT-01</t>
  </si>
  <si>
    <t xml:space="preserve">Data-layer protections</t>
  </si>
  <si>
    <t xml:space="preserve">Sensitive fields are masked, tokenised or pseudonymised in non-production and analytics environments where full values are not needed.</t>
  </si>
  <si>
    <t xml:space="preserve">Masking rules on sensitive columns; test/analytics copies verified to contain no unmasked sensitive values.</t>
  </si>
  <si>
    <t xml:space="preserve">DAT-02</t>
  </si>
  <si>
    <t xml:space="preserve">Fine-grained controls (row- or column-level security, or equivalent) are used where users share a dataset but are entitled to different subsets.</t>
  </si>
  <si>
    <t xml:space="preserve">Row/column policies configured on shared datasets with mixed entitlements.</t>
  </si>
  <si>
    <t xml:space="preserve">DAT-03</t>
  </si>
  <si>
    <t xml:space="preserve">Export and sharing of classified data are controlled: rules state who may export or share externally, and technical controls enforce them.</t>
  </si>
  <si>
    <t xml:space="preserve">Sharing/export rules in the policy; platform sharing restrictions or data loss prevention rules in place.</t>
  </si>
  <si>
    <t xml:space="preserve">5.14, 8.12</t>
  </si>
  <si>
    <t xml:space="preserve">3.13</t>
  </si>
  <si>
    <t xml:space="preserve">DAT-04</t>
  </si>
  <si>
    <t xml:space="preserve">Sensitive data is encrypted in transit and at rest, and access to encryption keys is controlled separately from access to the data.</t>
  </si>
  <si>
    <t xml:space="preserve">Encryption settings on data stores; key management roles separate from data administrator roles.</t>
  </si>
  <si>
    <t xml:space="preserve">8.24</t>
  </si>
  <si>
    <t xml:space="preserve">3.10, 3.11</t>
  </si>
  <si>
    <t xml:space="preserve">DAT-05</t>
  </si>
  <si>
    <t xml:space="preserve">Copies of data (extracts, sandboxes, test datasets) inherit the access restrictions of their source and are registered and disposed of under the policy.</t>
  </si>
  <si>
    <t xml:space="preserve">Register of data copies with owner and expiry; permissions on copies match source; disposal evidence.</t>
  </si>
  <si>
    <t xml:space="preserve">5.12, 8.33</t>
  </si>
  <si>
    <t xml:space="preserve">Organisation-specific</t>
  </si>
  <si>
    <t xml:space="preserve">Summary</t>
  </si>
  <si>
    <t xml:space="preserve">Calculated from the Checklist sheet. No input is needed here.</t>
  </si>
  <si>
    <t xml:space="preserve">Priority gaps (Essential controls Partially met or Not met)</t>
  </si>
  <si>
    <t xml:space="preserve">Headline</t>
  </si>
  <si>
    <t xml:space="preserve">Controls in checklist</t>
  </si>
  <si>
    <t xml:space="preserve">Assessed</t>
  </si>
  <si>
    <t xml:space="preserve">Essential controls met</t>
  </si>
  <si>
    <t xml:space="preserve">Priority gaps</t>
  </si>
  <si>
    <t xml:space="preserve">Other gaps</t>
  </si>
  <si>
    <t xml:space="preserve">Met with no evidence recorded</t>
  </si>
  <si>
    <t xml:space="preserve">By domain</t>
  </si>
  <si>
    <t xml:space="preserve">Controls</t>
  </si>
  <si>
    <t xml:space="preserve">N/A</t>
  </si>
  <si>
    <t xml:space="preserve">Not assessed</t>
  </si>
  <si>
    <t xml:space="preserve">Coverage</t>
  </si>
  <si>
    <t xml:space="preserve">Total</t>
  </si>
</sst>
</file>

<file path=xl/styles.xml><?xml version="1.0" encoding="utf-8"?>
<styleSheet xmlns="http://schemas.openxmlformats.org/spreadsheetml/2006/main">
  <numFmts count="6">
    <numFmt numFmtId="164" formatCode="General"/>
    <numFmt numFmtId="165" formatCode="dd\ mmm\ yyyy"/>
    <numFmt numFmtId="166" formatCode="0"/>
    <numFmt numFmtId="167" formatCode="0%"/>
    <numFmt numFmtId="168" formatCode="@"/>
    <numFmt numFmtId="169" formatCode="General"/>
  </numFmts>
  <fonts count="23">
    <font>
      <sz val="11"/>
      <color theme="1"/>
      <name val="Calibri"/>
      <family val="2"/>
      <charset val="1"/>
    </font>
    <font>
      <sz val="10"/>
      <name val="Arial"/>
      <family val="0"/>
    </font>
    <font>
      <sz val="10"/>
      <name val="Arial"/>
      <family val="0"/>
    </font>
    <font>
      <sz val="10"/>
      <name val="Arial"/>
      <family val="0"/>
    </font>
    <font>
      <b val="true"/>
      <sz val="16"/>
      <color rgb="FF0B1F33"/>
      <name val="Arial"/>
      <family val="0"/>
      <charset val="1"/>
    </font>
    <font>
      <i val="true"/>
      <sz val="10"/>
      <color rgb="FF5B6672"/>
      <name val="Arial"/>
      <family val="0"/>
      <charset val="1"/>
    </font>
    <font>
      <b val="true"/>
      <sz val="10"/>
      <color rgb="FF0B1F33"/>
      <name val="Arial"/>
      <family val="0"/>
      <charset val="1"/>
    </font>
    <font>
      <sz val="10"/>
      <color rgb="FF17212B"/>
      <name val="Arial"/>
      <family val="0"/>
      <charset val="1"/>
    </font>
    <font>
      <b val="true"/>
      <sz val="11"/>
      <color rgb="FF087E8B"/>
      <name val="Arial"/>
      <family val="0"/>
      <charset val="1"/>
    </font>
    <font>
      <b val="true"/>
      <sz val="10"/>
      <color rgb="FF17212B"/>
      <name val="Arial"/>
      <family val="0"/>
      <charset val="1"/>
    </font>
    <font>
      <b val="true"/>
      <sz val="10"/>
      <color rgb="FF5B6672"/>
      <name val="Arial"/>
      <family val="0"/>
      <charset val="1"/>
    </font>
    <font>
      <sz val="8"/>
      <color rgb="FF5B6672"/>
      <name val="Arial"/>
      <family val="0"/>
      <charset val="1"/>
    </font>
    <font>
      <b val="true"/>
      <sz val="10"/>
      <color rgb="FFFFFFFF"/>
      <name val="Arial"/>
      <family val="0"/>
      <charset val="1"/>
    </font>
    <font>
      <b val="true"/>
      <sz val="9"/>
      <color rgb="FF17212B"/>
      <name val="Arial"/>
      <family val="0"/>
      <charset val="1"/>
    </font>
    <font>
      <sz val="9"/>
      <color rgb="FF17212B"/>
      <name val="Arial"/>
      <family val="0"/>
      <charset val="1"/>
    </font>
    <font>
      <b val="true"/>
      <sz val="9"/>
      <color rgb="FFFFFFFF"/>
      <name val="Arial"/>
      <family val="0"/>
      <charset val="1"/>
    </font>
    <font>
      <sz val="8"/>
      <color rgb="FF17212B"/>
      <name val="Arial"/>
      <family val="0"/>
      <charset val="1"/>
    </font>
    <font>
      <b val="true"/>
      <sz val="11"/>
      <color rgb="FF0B1F33"/>
      <name val="Arial"/>
      <family val="0"/>
      <charset val="1"/>
    </font>
    <font>
      <b val="true"/>
      <sz val="10"/>
      <color rgb="FF087E8B"/>
      <name val="Arial"/>
      <family val="0"/>
      <charset val="1"/>
    </font>
    <font>
      <i val="true"/>
      <sz val="8"/>
      <color rgb="FF5B6672"/>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EEF7F8"/>
        <bgColor rgb="FFF6F8FA"/>
      </patternFill>
    </fill>
    <fill>
      <patternFill patternType="solid">
        <fgColor rgb="FF0B1F33"/>
        <bgColor rgb="FF17212B"/>
      </patternFill>
    </fill>
    <fill>
      <patternFill patternType="solid">
        <fgColor rgb="FFF6F8FA"/>
        <bgColor rgb="FFEEF7F8"/>
      </patternFill>
    </fill>
  </fills>
  <borders count="5">
    <border diagonalUp="false" diagonalDown="false">
      <left/>
      <right/>
      <top/>
      <bottom/>
      <diagonal/>
    </border>
    <border diagonalUp="false" diagonalDown="false">
      <left/>
      <right/>
      <top/>
      <bottom style="medium">
        <color rgb="FF087E8B"/>
      </bottom>
      <diagonal/>
    </border>
    <border diagonalUp="false" diagonalDown="false">
      <left/>
      <right/>
      <top/>
      <bottom style="thin">
        <color rgb="FF087E8B"/>
      </bottom>
      <diagonal/>
    </border>
    <border diagonalUp="false" diagonalDown="false">
      <left style="thin">
        <color rgb="FFD9E1E7"/>
      </left>
      <right style="thin">
        <color rgb="FFD9E1E7"/>
      </right>
      <top style="thin">
        <color rgb="FFD9E1E7"/>
      </top>
      <bottom style="thin">
        <color rgb="FFD9E1E7"/>
      </bottom>
      <diagonal/>
    </border>
    <border diagonalUp="false" diagonalDown="false">
      <left/>
      <right/>
      <top style="medium">
        <color rgb="FF0B1F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2" borderId="3" xfId="0" applyFont="true" applyBorder="true" applyAlignment="false" applyProtection="true">
      <alignment horizontal="general" vertical="bottom" textRotation="0" wrapText="false" indent="0" shrinkToFit="false"/>
      <protection locked="false" hidden="false"/>
    </xf>
    <xf numFmtId="165" fontId="7" fillId="2" borderId="3" xfId="0" applyFont="true" applyBorder="true" applyAlignment="false" applyProtection="true">
      <alignment horizontal="general" vertical="bottom" textRotation="0" wrapText="false" indent="0" shrinkToFit="false"/>
      <protection locked="false" hidden="false"/>
    </xf>
    <xf numFmtId="164" fontId="12" fillId="3" borderId="3" xfId="0" applyFont="true" applyBorder="true" applyAlignment="true" applyProtection="false">
      <alignment horizontal="center" vertical="center" textRotation="0" wrapText="true" indent="0" shrinkToFit="false"/>
      <protection locked="true" hidden="false"/>
    </xf>
    <xf numFmtId="164" fontId="13" fillId="0" borderId="3" xfId="0" applyFont="true" applyBorder="true" applyAlignment="true" applyProtection="false">
      <alignment horizontal="center" vertical="top" textRotation="0" wrapText="true" indent="0" shrinkToFit="false"/>
      <protection locked="true" hidden="false"/>
    </xf>
    <xf numFmtId="164" fontId="14" fillId="0" borderId="3" xfId="0" applyFont="true" applyBorder="true" applyAlignment="true" applyProtection="false">
      <alignment horizontal="general" vertical="top" textRotation="0" wrapText="true" indent="0" shrinkToFit="false"/>
      <protection locked="true" hidden="false"/>
    </xf>
    <xf numFmtId="164" fontId="14" fillId="0" borderId="3" xfId="0" applyFont="true" applyBorder="true" applyAlignment="true" applyProtection="false">
      <alignment horizontal="center" vertical="top" textRotation="0" wrapText="true" indent="0" shrinkToFit="false"/>
      <protection locked="true" hidden="false"/>
    </xf>
    <xf numFmtId="164" fontId="14" fillId="2" borderId="3" xfId="0" applyFont="true" applyBorder="true" applyAlignment="true" applyProtection="true">
      <alignment horizontal="center" vertical="top" textRotation="0" wrapText="true" indent="0" shrinkToFit="false"/>
      <protection locked="false" hidden="false"/>
    </xf>
    <xf numFmtId="164" fontId="13" fillId="0" borderId="3" xfId="0" applyFont="true" applyBorder="true" applyAlignment="true" applyProtection="false">
      <alignment horizontal="center" vertical="center" textRotation="0" wrapText="true" indent="0" shrinkToFit="false"/>
      <protection locked="true" hidden="false"/>
    </xf>
    <xf numFmtId="164" fontId="14" fillId="2" borderId="3" xfId="0" applyFont="true" applyBorder="true" applyAlignment="true" applyProtection="true">
      <alignment horizontal="general" vertical="top" textRotation="0" wrapText="true" indent="0" shrinkToFit="false"/>
      <protection locked="false" hidden="false"/>
    </xf>
    <xf numFmtId="165" fontId="14" fillId="2" borderId="3" xfId="0" applyFont="true" applyBorder="true" applyAlignment="true" applyProtection="true">
      <alignment horizontal="center" vertical="top" textRotation="0" wrapText="true" indent="0" shrinkToFit="false"/>
      <protection locked="false" hidden="false"/>
    </xf>
    <xf numFmtId="164" fontId="11"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true" applyAlignment="true" applyProtection="false">
      <alignment horizontal="left" vertical="bottom" textRotation="0" wrapText="false" indent="0" shrinkToFit="false"/>
      <protection locked="true" hidden="false"/>
    </xf>
    <xf numFmtId="164" fontId="15" fillId="3" borderId="3" xfId="0" applyFont="true" applyBorder="true" applyAlignment="true" applyProtection="false">
      <alignment horizontal="center" vertical="center" textRotation="0" wrapText="true" indent="0" shrinkToFit="false"/>
      <protection locked="true" hidden="false"/>
    </xf>
    <xf numFmtId="164" fontId="16" fillId="0" borderId="3" xfId="0" applyFont="true" applyBorder="true" applyAlignment="true" applyProtection="false">
      <alignment horizontal="center" vertical="top" textRotation="0" wrapText="true" indent="0" shrinkToFit="false"/>
      <protection locked="true" hidden="false"/>
    </xf>
    <xf numFmtId="164" fontId="16" fillId="0" borderId="3" xfId="0" applyFont="true" applyBorder="true" applyAlignment="true" applyProtection="false">
      <alignment horizontal="left" vertical="top" textRotation="0" wrapText="true" indent="0" shrinkToFit="false"/>
      <protection locked="true" hidden="false"/>
    </xf>
    <xf numFmtId="165" fontId="16" fillId="0" borderId="3" xfId="0" applyFont="true" applyBorder="true" applyAlignment="true" applyProtection="false">
      <alignment horizontal="center"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left" vertical="bottom" textRotation="0" wrapText="false" indent="0" shrinkToFit="false"/>
      <protection locked="true" hidden="false"/>
    </xf>
    <xf numFmtId="167" fontId="17" fillId="0" borderId="0" xfId="0" applyFont="true" applyBorder="false" applyAlignment="true" applyProtection="false">
      <alignment horizontal="left" vertical="bottom" textRotation="0" wrapText="false" indent="0" shrinkToFit="false"/>
      <protection locked="true" hidden="false"/>
    </xf>
    <xf numFmtId="168" fontId="17" fillId="0" borderId="0"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4" fillId="0" borderId="3" xfId="0" applyFont="true" applyBorder="true" applyAlignment="true" applyProtection="false">
      <alignment horizontal="left" vertical="center" textRotation="0" wrapText="false" indent="0" shrinkToFit="false"/>
      <protection locked="true" hidden="false"/>
    </xf>
    <xf numFmtId="169" fontId="14" fillId="0" borderId="3" xfId="0" applyFont="true" applyBorder="true" applyAlignment="true" applyProtection="false">
      <alignment horizontal="center" vertical="center" textRotation="0" wrapText="false" indent="0" shrinkToFit="false"/>
      <protection locked="true" hidden="false"/>
    </xf>
    <xf numFmtId="167" fontId="14" fillId="0" borderId="3" xfId="0" applyFont="true" applyBorder="true" applyAlignment="true" applyProtection="false">
      <alignment horizontal="center" vertical="center" textRotation="0" wrapText="false" indent="0" shrinkToFit="false"/>
      <protection locked="true" hidden="false"/>
    </xf>
    <xf numFmtId="164" fontId="14" fillId="4" borderId="3" xfId="0" applyFont="true" applyBorder="true" applyAlignment="true" applyProtection="false">
      <alignment horizontal="left" vertical="center" textRotation="0" wrapText="false" indent="0" shrinkToFit="false"/>
      <protection locked="true" hidden="false"/>
    </xf>
    <xf numFmtId="169" fontId="14" fillId="4" borderId="3" xfId="0" applyFont="true" applyBorder="true" applyAlignment="true" applyProtection="false">
      <alignment horizontal="center" vertical="center" textRotation="0" wrapText="false" indent="0" shrinkToFit="false"/>
      <protection locked="true" hidden="false"/>
    </xf>
    <xf numFmtId="167" fontId="14" fillId="4" borderId="3" xfId="0" applyFont="true" applyBorder="true" applyAlignment="true" applyProtection="false">
      <alignment horizontal="center" vertical="center" textRotation="0" wrapText="false" indent="0" shrinkToFit="false"/>
      <protection locked="true" hidden="false"/>
    </xf>
    <xf numFmtId="164" fontId="13" fillId="0" borderId="4" xfId="0" applyFont="true" applyBorder="true" applyAlignment="true" applyProtection="false">
      <alignment horizontal="left" vertical="bottom" textRotation="0" wrapText="false" indent="0" shrinkToFit="false"/>
      <protection locked="true" hidden="false"/>
    </xf>
    <xf numFmtId="169" fontId="13" fillId="0" borderId="4" xfId="0" applyFont="true" applyBorder="true" applyAlignment="true" applyProtection="false">
      <alignment horizontal="center" vertical="bottom" textRotation="0" wrapText="false" indent="0" shrinkToFit="false"/>
      <protection locked="true" hidden="false"/>
    </xf>
    <xf numFmtId="167" fontId="13" fillId="0" borderId="4" xfId="0" applyFont="true" applyBorder="true" applyAlignment="true" applyProtection="false">
      <alignment horizontal="center"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0B1F33"/>
          <bgColor rgb="FF000000"/>
        </patternFill>
      </fill>
    </dxf>
    <dxf>
      <fill>
        <patternFill patternType="solid">
          <fgColor rgb="FFEEF7F8"/>
          <bgColor rgb="FF000000"/>
        </patternFill>
      </fill>
    </dxf>
    <dxf>
      <fill>
        <patternFill patternType="solid">
          <bgColor rgb="FF000000"/>
        </patternFill>
      </fill>
    </dxf>
    <dxf>
      <fill>
        <patternFill patternType="solid">
          <fgColor rgb="FF17212B"/>
          <bgColor rgb="FF000000"/>
        </patternFill>
      </fill>
    </dxf>
    <dxf>
      <fill>
        <patternFill patternType="solid">
          <fgColor rgb="FFFFFFFF"/>
          <bgColor rgb="FF000000"/>
        </patternFill>
      </fill>
    </dxf>
    <dxf>
      <fill>
        <patternFill patternType="solid">
          <fgColor rgb="FF5B6672"/>
          <bgColor rgb="FF000000"/>
        </patternFill>
      </fill>
    </dxf>
    <dxf>
      <font>
        <name val="Arial"/>
        <charset val="1"/>
        <family val="0"/>
        <b val="1"/>
        <color rgb="FF9B1C1C"/>
      </font>
      <fill>
        <patternFill>
          <bgColor rgb="FFF9D9D6"/>
        </patternFill>
      </fill>
    </dxf>
    <dxf>
      <font>
        <name val="Arial"/>
        <charset val="1"/>
        <family val="0"/>
        <b val="1"/>
        <color rgb="FF8A4B00"/>
      </font>
      <fill>
        <patternFill>
          <bgColor rgb="FFFCEBD0"/>
        </patternFill>
      </fill>
    </dxf>
    <dxf>
      <font>
        <name val="Arial"/>
        <charset val="1"/>
        <family val="0"/>
        <b val="1"/>
        <color rgb="FF1E6B3A"/>
      </font>
      <fill>
        <patternFill>
          <bgColor rgb="FFDDF0E4"/>
        </patternFill>
      </fill>
    </dxf>
    <dxf>
      <font>
        <name val="Arial"/>
        <charset val="1"/>
        <family val="0"/>
        <b val="1"/>
        <color rgb="FF8A4B00"/>
      </font>
      <fill>
        <patternFill>
          <bgColor rgb="FFEAF4EE"/>
        </patternFill>
      </fill>
    </dxf>
    <dxf>
      <font>
        <name val="Arial"/>
        <charset val="1"/>
        <family val="0"/>
        <color rgb="FF5B6672"/>
      </font>
    </dxf>
    <dxf>
      <font>
        <name val="Arial"/>
        <charset val="1"/>
        <family val="0"/>
        <b val="1"/>
        <color rgb="FF9B1C1C"/>
      </font>
    </dxf>
  </dxfs>
  <colors>
    <indexedColors>
      <rgbColor rgb="FF000000"/>
      <rgbColor rgb="FFFFFFFF"/>
      <rgbColor rgb="FFFF0000"/>
      <rgbColor rgb="FF00FF00"/>
      <rgbColor rgb="FF0000FF"/>
      <rgbColor rgb="FFFFFF00"/>
      <rgbColor rgb="FFFF00FF"/>
      <rgbColor rgb="FF00FFFF"/>
      <rgbColor rgb="FF800000"/>
      <rgbColor rgb="FF1E6B3A"/>
      <rgbColor rgb="FF000080"/>
      <rgbColor rgb="FF808000"/>
      <rgbColor rgb="FF800080"/>
      <rgbColor rgb="FF087E8B"/>
      <rgbColor rgb="FFD9E1E7"/>
      <rgbColor rgb="FF878787"/>
      <rgbColor rgb="FF9999FF"/>
      <rgbColor rgb="FFC0392B"/>
      <rgbColor rgb="FFFCEBD0"/>
      <rgbColor rgb="FFEAF4E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EF7F8"/>
      <rgbColor rgb="FFDDF0E4"/>
      <rgbColor rgb="FFF6F8FA"/>
      <rgbColor rgb="FF99CCFF"/>
      <rgbColor rgb="FFFF99CC"/>
      <rgbColor rgb="FFCC99FF"/>
      <rgbColor rgb="FFF9D9D6"/>
      <rgbColor rgb="FF3366FF"/>
      <rgbColor rgb="FF33CCCC"/>
      <rgbColor rgb="FF99CC00"/>
      <rgbColor rgb="FFFFCC00"/>
      <rgbColor rgb="FFE0A030"/>
      <rgbColor rgb="FFFF6600"/>
      <rgbColor rgb="FF5B6672"/>
      <rgbColor rgb="FF9AA5B1"/>
      <rgbColor rgb="FF0B1F33"/>
      <rgbColor rgb="FF2E8B57"/>
      <rgbColor rgb="FF003300"/>
      <rgbColor rgb="FF333300"/>
      <rgbColor rgb="FF9B1C1C"/>
      <rgbColor rgb="FF8A4B00"/>
      <rgbColor rgb="FF333399"/>
      <rgbColor rgb="FF1721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Status by domain</a:t>
            </a:r>
          </a:p>
        </c:rich>
      </c:tx>
      <c:overlay val="0"/>
      <c:spPr>
        <a:noFill/>
        <a:ln w="0">
          <a:noFill/>
        </a:ln>
      </c:spPr>
    </c:title>
    <c:autoTitleDeleted val="0"/>
    <c:plotArea>
      <c:barChart>
        <c:barDir val="bar"/>
        <c:grouping val="stacked"/>
        <c:varyColors val="0"/>
        <c:ser>
          <c:idx val="0"/>
          <c:order val="0"/>
          <c:tx>
            <c:strRef>
              <c:f>Summary!D21</c:f>
              <c:strCache>
                <c:ptCount val="1"/>
                <c:pt idx="0">
                  <c:v>Met</c:v>
                </c:pt>
              </c:strCache>
            </c:strRef>
          </c:tx>
          <c:spPr>
            <a:solidFill>
              <a:srgbClr val="2e8b57"/>
            </a:solidFill>
            <a:ln w="0">
              <a:solidFill>
                <a:srgbClr val="2e8b57"/>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Summary!$A$22:$A$31</c:f>
              <c:strCache>
                <c:ptCount val="10"/>
                <c:pt idx="0">
                  <c:v>Policy foundation &amp; governance</c:v>
                </c:pt>
                <c:pt idx="1">
                  <c:v>Classification &amp; ownership</c:v>
                </c:pt>
                <c:pt idx="2">
                  <c:v>Access model</c:v>
                </c:pt>
                <c:pt idx="3">
                  <c:v>Identity &amp; access lifecycle</c:v>
                </c:pt>
                <c:pt idx="4">
                  <c:v>Authentication</c:v>
                </c:pt>
                <c:pt idx="5">
                  <c:v>Privileged access</c:v>
                </c:pt>
                <c:pt idx="6">
                  <c:v>Third-party &amp; non-human access</c:v>
                </c:pt>
                <c:pt idx="7">
                  <c:v>Access review &amp; recertification</c:v>
                </c:pt>
                <c:pt idx="8">
                  <c:v>Logging &amp; monitoring</c:v>
                </c:pt>
                <c:pt idx="9">
                  <c:v>Data-layer protections</c:v>
                </c:pt>
              </c:strCache>
            </c:strRef>
          </c:cat>
          <c:val>
            <c:numRef>
              <c:f>Summary!$D$22:$D$31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Summary!E21</c:f>
              <c:strCache>
                <c:ptCount val="1"/>
                <c:pt idx="0">
                  <c:v>Partially met</c:v>
                </c:pt>
              </c:strCache>
            </c:strRef>
          </c:tx>
          <c:spPr>
            <a:solidFill>
              <a:srgbClr val="e0a030"/>
            </a:solidFill>
            <a:ln w="0">
              <a:solidFill>
                <a:srgbClr val="e0a03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Summary!$A$22:$A$31</c:f>
              <c:strCache>
                <c:ptCount val="10"/>
                <c:pt idx="0">
                  <c:v>Policy foundation &amp; governance</c:v>
                </c:pt>
                <c:pt idx="1">
                  <c:v>Classification &amp; ownership</c:v>
                </c:pt>
                <c:pt idx="2">
                  <c:v>Access model</c:v>
                </c:pt>
                <c:pt idx="3">
                  <c:v>Identity &amp; access lifecycle</c:v>
                </c:pt>
                <c:pt idx="4">
                  <c:v>Authentication</c:v>
                </c:pt>
                <c:pt idx="5">
                  <c:v>Privileged access</c:v>
                </c:pt>
                <c:pt idx="6">
                  <c:v>Third-party &amp; non-human access</c:v>
                </c:pt>
                <c:pt idx="7">
                  <c:v>Access review &amp; recertification</c:v>
                </c:pt>
                <c:pt idx="8">
                  <c:v>Logging &amp; monitoring</c:v>
                </c:pt>
                <c:pt idx="9">
                  <c:v>Data-layer protections</c:v>
                </c:pt>
              </c:strCache>
            </c:strRef>
          </c:cat>
          <c:val>
            <c:numRef>
              <c:f>Summary!$E$22:$E$31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Summary!F21</c:f>
              <c:strCache>
                <c:ptCount val="1"/>
                <c:pt idx="0">
                  <c:v>Not met</c:v>
                </c:pt>
              </c:strCache>
            </c:strRef>
          </c:tx>
          <c:spPr>
            <a:solidFill>
              <a:srgbClr val="c0392b"/>
            </a:solidFill>
            <a:ln w="0">
              <a:solidFill>
                <a:srgbClr val="c0392b"/>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Summary!$A$22:$A$31</c:f>
              <c:strCache>
                <c:ptCount val="10"/>
                <c:pt idx="0">
                  <c:v>Policy foundation &amp; governance</c:v>
                </c:pt>
                <c:pt idx="1">
                  <c:v>Classification &amp; ownership</c:v>
                </c:pt>
                <c:pt idx="2">
                  <c:v>Access model</c:v>
                </c:pt>
                <c:pt idx="3">
                  <c:v>Identity &amp; access lifecycle</c:v>
                </c:pt>
                <c:pt idx="4">
                  <c:v>Authentication</c:v>
                </c:pt>
                <c:pt idx="5">
                  <c:v>Privileged access</c:v>
                </c:pt>
                <c:pt idx="6">
                  <c:v>Third-party &amp; non-human access</c:v>
                </c:pt>
                <c:pt idx="7">
                  <c:v>Access review &amp; recertification</c:v>
                </c:pt>
                <c:pt idx="8">
                  <c:v>Logging &amp; monitoring</c:v>
                </c:pt>
                <c:pt idx="9">
                  <c:v>Data-layer protections</c:v>
                </c:pt>
              </c:strCache>
            </c:strRef>
          </c:cat>
          <c:val>
            <c:numRef>
              <c:f>Summary!$F$22:$F$31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Summary!G21</c:f>
              <c:strCache>
                <c:ptCount val="1"/>
                <c:pt idx="0">
                  <c:v>N/A</c:v>
                </c:pt>
              </c:strCache>
            </c:strRef>
          </c:tx>
          <c:spPr>
            <a:solidFill>
              <a:srgbClr val="9aa5b1"/>
            </a:solidFill>
            <a:ln w="0">
              <a:solidFill>
                <a:srgbClr val="9aa5b1"/>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Summary!$A$22:$A$31</c:f>
              <c:strCache>
                <c:ptCount val="10"/>
                <c:pt idx="0">
                  <c:v>Policy foundation &amp; governance</c:v>
                </c:pt>
                <c:pt idx="1">
                  <c:v>Classification &amp; ownership</c:v>
                </c:pt>
                <c:pt idx="2">
                  <c:v>Access model</c:v>
                </c:pt>
                <c:pt idx="3">
                  <c:v>Identity &amp; access lifecycle</c:v>
                </c:pt>
                <c:pt idx="4">
                  <c:v>Authentication</c:v>
                </c:pt>
                <c:pt idx="5">
                  <c:v>Privileged access</c:v>
                </c:pt>
                <c:pt idx="6">
                  <c:v>Third-party &amp; non-human access</c:v>
                </c:pt>
                <c:pt idx="7">
                  <c:v>Access review &amp; recertification</c:v>
                </c:pt>
                <c:pt idx="8">
                  <c:v>Logging &amp; monitoring</c:v>
                </c:pt>
                <c:pt idx="9">
                  <c:v>Data-layer protections</c:v>
                </c:pt>
              </c:strCache>
            </c:strRef>
          </c:cat>
          <c:val>
            <c:numRef>
              <c:f>Summary!$G$22:$G$31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Summary!H21</c:f>
              <c:strCache>
                <c:ptCount val="1"/>
                <c:pt idx="0">
                  <c:v>Not assessed</c:v>
                </c:pt>
              </c:strCache>
            </c:strRef>
          </c:tx>
          <c:spPr>
            <a:solidFill>
              <a:srgbClr val="d9e1e7"/>
            </a:solidFill>
            <a:ln w="0">
              <a:solidFill>
                <a:srgbClr val="d9e1e7"/>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Summary!$A$22:$A$31</c:f>
              <c:strCache>
                <c:ptCount val="10"/>
                <c:pt idx="0">
                  <c:v>Policy foundation &amp; governance</c:v>
                </c:pt>
                <c:pt idx="1">
                  <c:v>Classification &amp; ownership</c:v>
                </c:pt>
                <c:pt idx="2">
                  <c:v>Access model</c:v>
                </c:pt>
                <c:pt idx="3">
                  <c:v>Identity &amp; access lifecycle</c:v>
                </c:pt>
                <c:pt idx="4">
                  <c:v>Authentication</c:v>
                </c:pt>
                <c:pt idx="5">
                  <c:v>Privileged access</c:v>
                </c:pt>
                <c:pt idx="6">
                  <c:v>Third-party &amp; non-human access</c:v>
                </c:pt>
                <c:pt idx="7">
                  <c:v>Access review &amp; recertification</c:v>
                </c:pt>
                <c:pt idx="8">
                  <c:v>Logging &amp; monitoring</c:v>
                </c:pt>
                <c:pt idx="9">
                  <c:v>Data-layer protections</c:v>
                </c:pt>
              </c:strCache>
            </c:strRef>
          </c:cat>
          <c:val>
            <c:numRef>
              <c:f>Summary!$H$22:$H$31</c:f>
              <c:numCache>
                <c:formatCode>General</c:formatCode>
                <c:ptCount val="10"/>
                <c:pt idx="0">
                  <c:v>5</c:v>
                </c:pt>
                <c:pt idx="1">
                  <c:v>3</c:v>
                </c:pt>
                <c:pt idx="2">
                  <c:v>4</c:v>
                </c:pt>
                <c:pt idx="3">
                  <c:v>6</c:v>
                </c:pt>
                <c:pt idx="4">
                  <c:v>4</c:v>
                </c:pt>
                <c:pt idx="5">
                  <c:v>4</c:v>
                </c:pt>
                <c:pt idx="6">
                  <c:v>4</c:v>
                </c:pt>
                <c:pt idx="7">
                  <c:v>3</c:v>
                </c:pt>
                <c:pt idx="8">
                  <c:v>3</c:v>
                </c:pt>
                <c:pt idx="9">
                  <c:v>5</c:v>
                </c:pt>
              </c:numCache>
            </c:numRef>
          </c:val>
        </c:ser>
        <c:gapWidth val="150"/>
        <c:overlap val="100"/>
        <c:axId val="6789888"/>
        <c:axId val="19229193"/>
      </c:barChart>
      <c:catAx>
        <c:axId val="678988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229193"/>
        <c:crosses val="autoZero"/>
        <c:auto val="1"/>
        <c:lblAlgn val="ctr"/>
        <c:lblOffset val="100"/>
        <c:noMultiLvlLbl val="0"/>
      </c:catAx>
      <c:valAx>
        <c:axId val="19229193"/>
        <c:scaling>
          <c:orientation val="minMax"/>
        </c:scaling>
        <c:delete val="0"/>
        <c:axPos val="l"/>
        <c:title>
          <c:tx>
            <c:rich>
              <a:bodyPr rot="0"/>
              <a:lstStyle/>
              <a:p>
                <a:pPr>
                  <a:defRPr b="1" sz="1000" spc="-1" strike="noStrike">
                    <a:solidFill>
                      <a:srgbClr val="000000"/>
                    </a:solidFill>
                    <a:latin typeface="Calibri"/>
                  </a:defRPr>
                </a:pPr>
                <a:r>
                  <a:rPr b="1" sz="1000" spc="-1" strike="noStrike">
                    <a:solidFill>
                      <a:srgbClr val="000000"/>
                    </a:solidFill>
                    <a:latin typeface="Calibri"/>
                  </a:rPr>
                  <a:t>Controls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89888"/>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805320</xdr:colOff>
      <xdr:row>0</xdr:row>
      <xdr:rowOff>323640</xdr:rowOff>
    </xdr:to>
    <xdr:pic>
      <xdr:nvPicPr>
        <xdr:cNvPr id="0" name="Image 1" descr="Picture"/>
        <xdr:cNvPicPr/>
      </xdr:nvPicPr>
      <xdr:blipFill>
        <a:blip r:embed="rId1"/>
        <a:stretch/>
      </xdr:blipFill>
      <xdr:spPr>
        <a:xfrm>
          <a:off x="0" y="0"/>
          <a:ext cx="2638080" cy="3236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735120</xdr:colOff>
      <xdr:row>0</xdr:row>
      <xdr:rowOff>323640</xdr:rowOff>
    </xdr:to>
    <xdr:pic>
      <xdr:nvPicPr>
        <xdr:cNvPr id="1" name="Image 1" descr="Picture"/>
        <xdr:cNvPicPr/>
      </xdr:nvPicPr>
      <xdr:blipFill>
        <a:blip r:embed="rId1"/>
        <a:stretch/>
      </xdr:blipFill>
      <xdr:spPr>
        <a:xfrm>
          <a:off x="0" y="0"/>
          <a:ext cx="2638080" cy="3236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33</xdr:row>
      <xdr:rowOff>64440</xdr:rowOff>
    </xdr:from>
    <xdr:to>
      <xdr:col>6</xdr:col>
      <xdr:colOff>417960</xdr:colOff>
      <xdr:row>51</xdr:row>
      <xdr:rowOff>121680</xdr:rowOff>
    </xdr:to>
    <xdr:graphicFrame>
      <xdr:nvGraphicFramePr>
        <xdr:cNvPr id="2" name="Chart 1"/>
        <xdr:cNvGraphicFramePr/>
      </xdr:nvGraphicFramePr>
      <xdr:xfrm>
        <a:off x="0" y="9363240"/>
        <a:ext cx="647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241560</xdr:colOff>
      <xdr:row>0</xdr:row>
      <xdr:rowOff>323640</xdr:rowOff>
    </xdr:to>
    <xdr:pic>
      <xdr:nvPicPr>
        <xdr:cNvPr id="3" name="Image 2" descr="Picture"/>
        <xdr:cNvPicPr/>
      </xdr:nvPicPr>
      <xdr:blipFill>
        <a:blip r:embed="rId2"/>
        <a:stretch/>
      </xdr:blipFill>
      <xdr:spPr>
        <a:xfrm>
          <a:off x="0" y="0"/>
          <a:ext cx="263808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8"/>
  </cols>
  <sheetData>
    <row r="1" customFormat="false" ht="30" hidden="false" customHeight="true" outlineLevel="0" collapsed="false"/>
    <row r="2" customFormat="false" ht="7.5" hidden="false" customHeight="true" outlineLevel="0" collapsed="false"/>
    <row r="3" customFormat="false" ht="19.7" hidden="false" customHeight="false" outlineLevel="0" collapsed="false">
      <c r="A3" s="1" t="s">
        <v>0</v>
      </c>
    </row>
    <row r="4" customFormat="false" ht="15" hidden="false" customHeight="false" outlineLevel="0" collapsed="false">
      <c r="A4" s="2" t="s">
        <v>1</v>
      </c>
      <c r="B4" s="3"/>
    </row>
    <row r="6" customFormat="false" ht="42.75" hidden="false" customHeight="true" outlineLevel="0" collapsed="false">
      <c r="A6" s="4" t="s">
        <v>2</v>
      </c>
      <c r="B6" s="5" t="s">
        <v>3</v>
      </c>
    </row>
    <row r="7" customFormat="false" ht="30" hidden="false" customHeight="true" outlineLevel="0" collapsed="false">
      <c r="A7" s="4" t="s">
        <v>4</v>
      </c>
      <c r="B7" s="5" t="s">
        <v>5</v>
      </c>
    </row>
    <row r="8" customFormat="false" ht="30" hidden="false" customHeight="true" outlineLevel="0" collapsed="false">
      <c r="A8" s="4" t="s">
        <v>6</v>
      </c>
      <c r="B8" s="5" t="s">
        <v>7</v>
      </c>
    </row>
    <row r="9" customFormat="false" ht="30" hidden="false" customHeight="true" outlineLevel="0" collapsed="false">
      <c r="A9" s="4" t="s">
        <v>8</v>
      </c>
      <c r="B9" s="5" t="s">
        <v>9</v>
      </c>
    </row>
    <row r="10" customFormat="false" ht="30" hidden="false" customHeight="true" outlineLevel="0" collapsed="false">
      <c r="A10" s="4" t="s">
        <v>10</v>
      </c>
      <c r="B10" s="5" t="s">
        <v>11</v>
      </c>
    </row>
    <row r="11" customFormat="false" ht="15" hidden="false" customHeight="false" outlineLevel="0" collapsed="false">
      <c r="A11" s="6"/>
    </row>
    <row r="12" customFormat="false" ht="15" hidden="false" customHeight="false" outlineLevel="0" collapsed="false">
      <c r="A12" s="7" t="s">
        <v>12</v>
      </c>
      <c r="B12" s="8"/>
    </row>
    <row r="13" customFormat="false" ht="30" hidden="false" customHeight="true" outlineLevel="0" collapsed="false">
      <c r="A13" s="6"/>
      <c r="B13" s="5" t="s">
        <v>13</v>
      </c>
    </row>
    <row r="14" customFormat="false" ht="30" hidden="false" customHeight="true" outlineLevel="0" collapsed="false">
      <c r="A14" s="6"/>
      <c r="B14" s="5" t="s">
        <v>14</v>
      </c>
    </row>
    <row r="15" customFormat="false" ht="30" hidden="false" customHeight="true" outlineLevel="0" collapsed="false">
      <c r="A15" s="6"/>
      <c r="B15" s="5" t="s">
        <v>15</v>
      </c>
    </row>
    <row r="16" customFormat="false" ht="30" hidden="false" customHeight="true" outlineLevel="0" collapsed="false">
      <c r="A16" s="6"/>
      <c r="B16" s="5" t="s">
        <v>16</v>
      </c>
    </row>
    <row r="17" customFormat="false" ht="30" hidden="false" customHeight="true" outlineLevel="0" collapsed="false">
      <c r="A17" s="6"/>
      <c r="B17" s="5" t="s">
        <v>17</v>
      </c>
    </row>
    <row r="18" customFormat="false" ht="15" hidden="false" customHeight="false" outlineLevel="0" collapsed="false">
      <c r="A18" s="6"/>
    </row>
    <row r="19" customFormat="false" ht="26.85" hidden="false" customHeight="false" outlineLevel="0" collapsed="false">
      <c r="A19" s="7" t="s">
        <v>18</v>
      </c>
      <c r="B19" s="8"/>
    </row>
    <row r="20" customFormat="false" ht="15" hidden="false" customHeight="false" outlineLevel="0" collapsed="false">
      <c r="A20" s="9" t="s">
        <v>19</v>
      </c>
      <c r="B20" s="5" t="s">
        <v>20</v>
      </c>
    </row>
    <row r="21" customFormat="false" ht="15" hidden="false" customHeight="false" outlineLevel="0" collapsed="false">
      <c r="A21" s="9" t="s">
        <v>21</v>
      </c>
      <c r="B21" s="5" t="s">
        <v>22</v>
      </c>
    </row>
    <row r="22" customFormat="false" ht="15" hidden="false" customHeight="false" outlineLevel="0" collapsed="false">
      <c r="A22" s="9" t="s">
        <v>23</v>
      </c>
      <c r="B22" s="5" t="s">
        <v>24</v>
      </c>
    </row>
    <row r="23" customFormat="false" ht="23.85" hidden="false" customHeight="false" outlineLevel="0" collapsed="false">
      <c r="A23" s="9" t="s">
        <v>25</v>
      </c>
      <c r="B23" s="5" t="s">
        <v>26</v>
      </c>
    </row>
    <row r="24" customFormat="false" ht="23.85" hidden="false" customHeight="false" outlineLevel="0" collapsed="false">
      <c r="A24" s="9" t="s">
        <v>27</v>
      </c>
      <c r="B24" s="5" t="s">
        <v>28</v>
      </c>
    </row>
    <row r="25" customFormat="false" ht="15" hidden="false" customHeight="false" outlineLevel="0" collapsed="false">
      <c r="A25" s="6"/>
    </row>
    <row r="26" customFormat="false" ht="15" hidden="false" customHeight="false" outlineLevel="0" collapsed="false">
      <c r="A26" s="7" t="s">
        <v>29</v>
      </c>
      <c r="B26" s="8"/>
    </row>
    <row r="27" customFormat="false" ht="42.75" hidden="false" customHeight="true" outlineLevel="0" collapsed="false">
      <c r="A27" s="9" t="s">
        <v>30</v>
      </c>
      <c r="B27" s="5" t="s">
        <v>31</v>
      </c>
    </row>
    <row r="28" customFormat="false" ht="30" hidden="false" customHeight="true" outlineLevel="0" collapsed="false">
      <c r="A28" s="9" t="s">
        <v>32</v>
      </c>
      <c r="B28" s="5" t="s">
        <v>33</v>
      </c>
    </row>
    <row r="29" customFormat="false" ht="30" hidden="false" customHeight="true" outlineLevel="0" collapsed="false">
      <c r="A29" s="9" t="s">
        <v>34</v>
      </c>
      <c r="B29" s="5" t="s">
        <v>35</v>
      </c>
    </row>
    <row r="30" customFormat="false" ht="55.5" hidden="false" customHeight="true" outlineLevel="0" collapsed="false">
      <c r="A30" s="9" t="s">
        <v>36</v>
      </c>
      <c r="B30" s="5" t="s">
        <v>37</v>
      </c>
    </row>
    <row r="31" customFormat="false" ht="15" hidden="false" customHeight="false" outlineLevel="0" collapsed="false">
      <c r="A31" s="6"/>
    </row>
    <row r="32" customFormat="false" ht="15" hidden="false" customHeight="false" outlineLevel="0" collapsed="false">
      <c r="A32" s="7" t="s">
        <v>38</v>
      </c>
      <c r="B32" s="8"/>
    </row>
    <row r="33" customFormat="false" ht="55.5" hidden="false" customHeight="true" outlineLevel="0" collapsed="false">
      <c r="A33" s="6"/>
      <c r="B33" s="5" t="s">
        <v>39</v>
      </c>
    </row>
    <row r="34" customFormat="false" ht="15" hidden="false" customHeight="false" outlineLevel="0" collapsed="false">
      <c r="A34" s="6"/>
    </row>
    <row r="35" customFormat="false" ht="26.85" hidden="false" customHeight="false" outlineLevel="0" collapsed="false">
      <c r="A35" s="7" t="s">
        <v>40</v>
      </c>
      <c r="B35" s="8"/>
    </row>
    <row r="36" customFormat="false" ht="16.5" hidden="false" customHeight="true" outlineLevel="0" collapsed="false">
      <c r="A36" s="10" t="s">
        <v>41</v>
      </c>
      <c r="B36" s="11" t="s">
        <v>42</v>
      </c>
    </row>
    <row r="37" customFormat="false" ht="16.5" hidden="false" customHeight="true" outlineLevel="0" collapsed="false">
      <c r="A37" s="10" t="s">
        <v>43</v>
      </c>
      <c r="B37" s="11" t="s">
        <v>21</v>
      </c>
    </row>
    <row r="38" customFormat="false" ht="16.5" hidden="false" customHeight="true" outlineLevel="0" collapsed="false">
      <c r="A38" s="10" t="s">
        <v>44</v>
      </c>
      <c r="B38" s="11" t="s">
        <v>45</v>
      </c>
    </row>
    <row r="39" customFormat="false" ht="30" hidden="false" customHeight="true" outlineLevel="0" collapsed="false">
      <c r="A39" s="10" t="s">
        <v>46</v>
      </c>
      <c r="B39" s="11" t="s">
        <v>47</v>
      </c>
    </row>
    <row r="40" customFormat="false" ht="16.5" hidden="false" customHeight="true" outlineLevel="0" collapsed="false">
      <c r="A40" s="10" t="s">
        <v>48</v>
      </c>
      <c r="B40" s="11" t="s">
        <v>49</v>
      </c>
    </row>
    <row r="41" customFormat="false" ht="15" hidden="false" customHeight="false" outlineLevel="0" collapsed="false">
      <c r="A41" s="6"/>
    </row>
    <row r="42" customFormat="false" ht="42.75" hidden="false" customHeight="true" outlineLevel="0" collapsed="false">
      <c r="A42" s="9" t="s">
        <v>50</v>
      </c>
      <c r="B42" s="5" t="s">
        <v>51</v>
      </c>
    </row>
    <row r="43" customFormat="false" ht="15" hidden="false" customHeight="false" outlineLevel="0" collapsed="false">
      <c r="A43" s="6"/>
    </row>
    <row r="44" customFormat="false" ht="15" hidden="false" customHeight="true" outlineLevel="0" collapsed="false">
      <c r="A44" s="12" t="s">
        <v>52</v>
      </c>
      <c r="B44" s="12"/>
    </row>
  </sheetData>
  <sheetProtection sheet="true"/>
  <mergeCells count="1">
    <mergeCell ref="A44:B44"/>
  </mergeCells>
  <printOptions headings="false" gridLines="false" gridLinesSet="true" horizontalCentered="false" verticalCentered="false"/>
  <pageMargins left="0.4" right="0.4" top="0.5" bottom="0.7"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&amp;L&amp;"Arial,Regular"&amp;7 This resource is provided under the dataintelligenceinsights.com Standard Use Licence v1.0. © dataintelligenceinsights.com. All rights reserved.&amp;R&amp;"Arial,Regular"&amp;7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52"/>
    <col collapsed="false" customWidth="true" hidden="false" outlineLevel="0" max="4" min="4" style="0" width="46"/>
    <col collapsed="false" customWidth="true" hidden="false" outlineLevel="0" max="5" min="5" style="0" width="12"/>
    <col collapsed="false" customWidth="true" hidden="false" outlineLevel="0" max="6" min="6" style="0" width="11"/>
    <col collapsed="false" customWidth="true" hidden="false" outlineLevel="0" max="7" min="7" style="0" width="10"/>
    <col collapsed="false" customWidth="true" hidden="false" outlineLevel="0" max="8" min="8" style="0" width="15"/>
    <col collapsed="false" customWidth="true" hidden="false" outlineLevel="0" max="9" min="9" style="0" width="17"/>
    <col collapsed="false" customWidth="true" hidden="false" outlineLevel="0" max="10" min="10" style="0" width="40"/>
    <col collapsed="false" customWidth="true" hidden="false" outlineLevel="0" max="11" min="11" style="0" width="16"/>
    <col collapsed="false" customWidth="true" hidden="false" outlineLevel="0" max="12" min="12" style="0" width="12"/>
    <col collapsed="false" customWidth="true" hidden="true" outlineLevel="0" max="13" min="13" style="0" width="6"/>
  </cols>
  <sheetData>
    <row r="1" customFormat="false" ht="30" hidden="false" customHeight="true" outlineLevel="0" collapsed="false"/>
    <row r="2" customFormat="false" ht="7.5" hidden="false" customHeight="true" outlineLevel="0" collapsed="false"/>
    <row r="3" customFormat="false" ht="19.7" hidden="false" customHeight="false" outlineLevel="0" collapsed="false">
      <c r="A3" s="1" t="s">
        <v>0</v>
      </c>
    </row>
    <row r="4" customFormat="false" ht="15" hidden="false" customHeight="false" outlineLevel="0" collapsed="false">
      <c r="A4" s="2" t="s">
        <v>53</v>
      </c>
      <c r="B4" s="3"/>
      <c r="C4" s="3"/>
      <c r="D4" s="3"/>
      <c r="E4" s="3"/>
      <c r="F4" s="3"/>
      <c r="G4" s="3"/>
      <c r="H4" s="3"/>
      <c r="I4" s="3"/>
      <c r="J4" s="3"/>
      <c r="K4" s="3"/>
      <c r="L4" s="3"/>
    </row>
    <row r="6" customFormat="false" ht="15" hidden="false" customHeight="false" outlineLevel="0" collapsed="false">
      <c r="A6" s="13" t="s">
        <v>54</v>
      </c>
      <c r="B6" s="13"/>
      <c r="C6" s="14"/>
      <c r="D6" s="14"/>
    </row>
    <row r="7" customFormat="false" ht="15" hidden="false" customHeight="false" outlineLevel="0" collapsed="false">
      <c r="A7" s="13" t="s">
        <v>55</v>
      </c>
      <c r="B7" s="13"/>
      <c r="C7" s="14"/>
      <c r="D7" s="14"/>
    </row>
    <row r="8" customFormat="false" ht="15" hidden="false" customHeight="false" outlineLevel="0" collapsed="false">
      <c r="A8" s="13" t="s">
        <v>56</v>
      </c>
      <c r="B8" s="13"/>
      <c r="C8" s="14"/>
      <c r="D8" s="14"/>
    </row>
    <row r="9" customFormat="false" ht="15" hidden="false" customHeight="false" outlineLevel="0" collapsed="false">
      <c r="A9" s="13" t="s">
        <v>57</v>
      </c>
      <c r="B9" s="13"/>
      <c r="C9" s="15"/>
      <c r="D9" s="15"/>
    </row>
    <row r="11" customFormat="false" ht="43.5" hidden="false" customHeight="true" outlineLevel="0" collapsed="false">
      <c r="A11" s="16" t="s">
        <v>58</v>
      </c>
      <c r="B11" s="16" t="s">
        <v>59</v>
      </c>
      <c r="C11" s="16" t="s">
        <v>41</v>
      </c>
      <c r="D11" s="16" t="s">
        <v>60</v>
      </c>
      <c r="E11" s="16" t="s">
        <v>36</v>
      </c>
      <c r="F11" s="16" t="s">
        <v>61</v>
      </c>
      <c r="G11" s="16" t="s">
        <v>62</v>
      </c>
      <c r="H11" s="16" t="s">
        <v>43</v>
      </c>
      <c r="I11" s="16" t="s">
        <v>30</v>
      </c>
      <c r="J11" s="16" t="s">
        <v>46</v>
      </c>
      <c r="K11" s="16" t="s">
        <v>63</v>
      </c>
      <c r="L11" s="16" t="s">
        <v>64</v>
      </c>
      <c r="M11" s="16" t="s">
        <v>65</v>
      </c>
    </row>
    <row r="12" customFormat="false" ht="48" hidden="false" customHeight="true" outlineLevel="0" collapsed="false">
      <c r="A12" s="17" t="s">
        <v>66</v>
      </c>
      <c r="B12" s="18" t="s">
        <v>67</v>
      </c>
      <c r="C12" s="18" t="s">
        <v>68</v>
      </c>
      <c r="D12" s="18" t="s">
        <v>69</v>
      </c>
      <c r="E12" s="19" t="s">
        <v>70</v>
      </c>
      <c r="F12" s="19" t="s">
        <v>71</v>
      </c>
      <c r="G12" s="19" t="s">
        <v>72</v>
      </c>
      <c r="H12" s="20"/>
      <c r="I12" s="21" t="str">
        <f aca="false">IF($C12="","",IF(H12="","Not assessed",IF(H12="Not applicable","N/A",IF(H12="Met",IF(TRIM(J12)="","OK - evidence not recorded","OK"),IF(OR(H12="Partially met",H12="Not met"),IF(E12="Essential","Priority gap","Gap"),"Check status")))))</f>
        <v>Not assessed</v>
      </c>
      <c r="J12" s="22"/>
      <c r="K12" s="22"/>
      <c r="L12" s="23"/>
      <c r="M12" s="24" t="str">
        <f aca="false">IF(I12="Priority gap",COUNTIF($I$12:I12,"Priority gap"),"")</f>
        <v/>
      </c>
    </row>
    <row r="13" customFormat="false" ht="48" hidden="false" customHeight="true" outlineLevel="0" collapsed="false">
      <c r="A13" s="17" t="s">
        <v>73</v>
      </c>
      <c r="B13" s="18" t="s">
        <v>67</v>
      </c>
      <c r="C13" s="18" t="s">
        <v>74</v>
      </c>
      <c r="D13" s="18" t="s">
        <v>75</v>
      </c>
      <c r="E13" s="19" t="s">
        <v>70</v>
      </c>
      <c r="F13" s="19" t="s">
        <v>76</v>
      </c>
      <c r="G13" s="19" t="s">
        <v>72</v>
      </c>
      <c r="H13" s="20"/>
      <c r="I13" s="21" t="str">
        <f aca="false">IF($C13="","",IF(H13="","Not assessed",IF(H13="Not applicable","N/A",IF(H13="Met",IF(TRIM(J13)="","OK - evidence not recorded","OK"),IF(OR(H13="Partially met",H13="Not met"),IF(E13="Essential","Priority gap","Gap"),"Check status")))))</f>
        <v>Not assessed</v>
      </c>
      <c r="J13" s="22"/>
      <c r="K13" s="22"/>
      <c r="L13" s="23"/>
      <c r="M13" s="24" t="str">
        <f aca="false">IF(I13="Priority gap",COUNTIF($I$12:I13,"Priority gap"),"")</f>
        <v/>
      </c>
    </row>
    <row r="14" customFormat="false" ht="48" hidden="false" customHeight="true" outlineLevel="0" collapsed="false">
      <c r="A14" s="17" t="s">
        <v>77</v>
      </c>
      <c r="B14" s="18" t="s">
        <v>67</v>
      </c>
      <c r="C14" s="18" t="s">
        <v>78</v>
      </c>
      <c r="D14" s="18" t="s">
        <v>79</v>
      </c>
      <c r="E14" s="19" t="s">
        <v>70</v>
      </c>
      <c r="F14" s="19" t="s">
        <v>80</v>
      </c>
      <c r="G14" s="19" t="s">
        <v>72</v>
      </c>
      <c r="H14" s="20"/>
      <c r="I14" s="21" t="str">
        <f aca="false">IF($C14="","",IF(H14="","Not assessed",IF(H14="Not applicable","N/A",IF(H14="Met",IF(TRIM(J14)="","OK - evidence not recorded","OK"),IF(OR(H14="Partially met",H14="Not met"),IF(E14="Essential","Priority gap","Gap"),"Check status")))))</f>
        <v>Not assessed</v>
      </c>
      <c r="J14" s="22"/>
      <c r="K14" s="22"/>
      <c r="L14" s="23"/>
      <c r="M14" s="24" t="str">
        <f aca="false">IF(I14="Priority gap",COUNTIF($I$12:I14,"Priority gap"),"")</f>
        <v/>
      </c>
    </row>
    <row r="15" customFormat="false" ht="48" hidden="false" customHeight="true" outlineLevel="0" collapsed="false">
      <c r="A15" s="17" t="s">
        <v>81</v>
      </c>
      <c r="B15" s="18" t="s">
        <v>67</v>
      </c>
      <c r="C15" s="18" t="s">
        <v>82</v>
      </c>
      <c r="D15" s="18" t="s">
        <v>83</v>
      </c>
      <c r="E15" s="19" t="s">
        <v>84</v>
      </c>
      <c r="F15" s="19" t="s">
        <v>85</v>
      </c>
      <c r="G15" s="19" t="s">
        <v>72</v>
      </c>
      <c r="H15" s="20"/>
      <c r="I15" s="21" t="str">
        <f aca="false">IF($C15="","",IF(H15="","Not assessed",IF(H15="Not applicable","N/A",IF(H15="Met",IF(TRIM(J15)="","OK - evidence not recorded","OK"),IF(OR(H15="Partially met",H15="Not met"),IF(E15="Essential","Priority gap","Gap"),"Check status")))))</f>
        <v>Not assessed</v>
      </c>
      <c r="J15" s="22"/>
      <c r="K15" s="22"/>
      <c r="L15" s="23"/>
      <c r="M15" s="24" t="str">
        <f aca="false">IF(I15="Priority gap",COUNTIF($I$12:I15,"Priority gap"),"")</f>
        <v/>
      </c>
    </row>
    <row r="16" customFormat="false" ht="48" hidden="false" customHeight="true" outlineLevel="0" collapsed="false">
      <c r="A16" s="17" t="s">
        <v>86</v>
      </c>
      <c r="B16" s="18" t="s">
        <v>67</v>
      </c>
      <c r="C16" s="18" t="s">
        <v>87</v>
      </c>
      <c r="D16" s="18" t="s">
        <v>88</v>
      </c>
      <c r="E16" s="19" t="s">
        <v>84</v>
      </c>
      <c r="F16" s="19" t="s">
        <v>89</v>
      </c>
      <c r="G16" s="19" t="s">
        <v>90</v>
      </c>
      <c r="H16" s="20"/>
      <c r="I16" s="21" t="str">
        <f aca="false">IF($C16="","",IF(H16="","Not assessed",IF(H16="Not applicable","N/A",IF(H16="Met",IF(TRIM(J16)="","OK - evidence not recorded","OK"),IF(OR(H16="Partially met",H16="Not met"),IF(E16="Essential","Priority gap","Gap"),"Check status")))))</f>
        <v>Not assessed</v>
      </c>
      <c r="J16" s="22"/>
      <c r="K16" s="22"/>
      <c r="L16" s="23"/>
      <c r="M16" s="24" t="str">
        <f aca="false">IF(I16="Priority gap",COUNTIF($I$12:I16,"Priority gap"),"")</f>
        <v/>
      </c>
    </row>
    <row r="17" customFormat="false" ht="48" hidden="false" customHeight="true" outlineLevel="0" collapsed="false">
      <c r="A17" s="17" t="s">
        <v>91</v>
      </c>
      <c r="B17" s="18" t="s">
        <v>92</v>
      </c>
      <c r="C17" s="18" t="s">
        <v>93</v>
      </c>
      <c r="D17" s="18" t="s">
        <v>94</v>
      </c>
      <c r="E17" s="19" t="s">
        <v>70</v>
      </c>
      <c r="F17" s="19" t="s">
        <v>95</v>
      </c>
      <c r="G17" s="19" t="s">
        <v>96</v>
      </c>
      <c r="H17" s="20"/>
      <c r="I17" s="21" t="str">
        <f aca="false">IF($C17="","",IF(H17="","Not assessed",IF(H17="Not applicable","N/A",IF(H17="Met",IF(TRIM(J17)="","OK - evidence not recorded","OK"),IF(OR(H17="Partially met",H17="Not met"),IF(E17="Essential","Priority gap","Gap"),"Check status")))))</f>
        <v>Not assessed</v>
      </c>
      <c r="J17" s="22"/>
      <c r="K17" s="22"/>
      <c r="L17" s="23"/>
      <c r="M17" s="24" t="str">
        <f aca="false">IF(I17="Priority gap",COUNTIF($I$12:I17,"Priority gap"),"")</f>
        <v/>
      </c>
    </row>
    <row r="18" customFormat="false" ht="48" hidden="false" customHeight="true" outlineLevel="0" collapsed="false">
      <c r="A18" s="17" t="s">
        <v>97</v>
      </c>
      <c r="B18" s="18" t="s">
        <v>92</v>
      </c>
      <c r="C18" s="18" t="s">
        <v>98</v>
      </c>
      <c r="D18" s="18" t="s">
        <v>99</v>
      </c>
      <c r="E18" s="19" t="s">
        <v>70</v>
      </c>
      <c r="F18" s="19" t="s">
        <v>100</v>
      </c>
      <c r="G18" s="19" t="s">
        <v>101</v>
      </c>
      <c r="H18" s="20"/>
      <c r="I18" s="21" t="str">
        <f aca="false">IF($C18="","",IF(H18="","Not assessed",IF(H18="Not applicable","N/A",IF(H18="Met",IF(TRIM(J18)="","OK - evidence not recorded","OK"),IF(OR(H18="Partially met",H18="Not met"),IF(E18="Essential","Priority gap","Gap"),"Check status")))))</f>
        <v>Not assessed</v>
      </c>
      <c r="J18" s="22"/>
      <c r="K18" s="22"/>
      <c r="L18" s="23"/>
      <c r="M18" s="24" t="str">
        <f aca="false">IF(I18="Priority gap",COUNTIF($I$12:I18,"Priority gap"),"")</f>
        <v/>
      </c>
    </row>
    <row r="19" customFormat="false" ht="48" hidden="false" customHeight="true" outlineLevel="0" collapsed="false">
      <c r="A19" s="17" t="s">
        <v>102</v>
      </c>
      <c r="B19" s="18" t="s">
        <v>92</v>
      </c>
      <c r="C19" s="18" t="s">
        <v>103</v>
      </c>
      <c r="D19" s="18" t="s">
        <v>104</v>
      </c>
      <c r="E19" s="19" t="s">
        <v>84</v>
      </c>
      <c r="F19" s="19" t="s">
        <v>105</v>
      </c>
      <c r="G19" s="19" t="s">
        <v>101</v>
      </c>
      <c r="H19" s="20"/>
      <c r="I19" s="21" t="str">
        <f aca="false">IF($C19="","",IF(H19="","Not assessed",IF(H19="Not applicable","N/A",IF(H19="Met",IF(TRIM(J19)="","OK - evidence not recorded","OK"),IF(OR(H19="Partially met",H19="Not met"),IF(E19="Essential","Priority gap","Gap"),"Check status")))))</f>
        <v>Not assessed</v>
      </c>
      <c r="J19" s="22"/>
      <c r="K19" s="22"/>
      <c r="L19" s="23"/>
      <c r="M19" s="24" t="str">
        <f aca="false">IF(I19="Priority gap",COUNTIF($I$12:I19,"Priority gap"),"")</f>
        <v/>
      </c>
    </row>
    <row r="20" customFormat="false" ht="48" hidden="false" customHeight="true" outlineLevel="0" collapsed="false">
      <c r="A20" s="17" t="s">
        <v>106</v>
      </c>
      <c r="B20" s="18" t="s">
        <v>107</v>
      </c>
      <c r="C20" s="18" t="s">
        <v>108</v>
      </c>
      <c r="D20" s="18" t="s">
        <v>109</v>
      </c>
      <c r="E20" s="19" t="s">
        <v>70</v>
      </c>
      <c r="F20" s="19" t="s">
        <v>110</v>
      </c>
      <c r="G20" s="19" t="s">
        <v>111</v>
      </c>
      <c r="H20" s="20"/>
      <c r="I20" s="21" t="str">
        <f aca="false">IF($C20="","",IF(H20="","Not assessed",IF(H20="Not applicable","N/A",IF(H20="Met",IF(TRIM(J20)="","OK - evidence not recorded","OK"),IF(OR(H20="Partially met",H20="Not met"),IF(E20="Essential","Priority gap","Gap"),"Check status")))))</f>
        <v>Not assessed</v>
      </c>
      <c r="J20" s="22"/>
      <c r="K20" s="22"/>
      <c r="L20" s="23"/>
      <c r="M20" s="24" t="str">
        <f aca="false">IF(I20="Priority gap",COUNTIF($I$12:I20,"Priority gap"),"")</f>
        <v/>
      </c>
    </row>
    <row r="21" customFormat="false" ht="48" hidden="false" customHeight="true" outlineLevel="0" collapsed="false">
      <c r="A21" s="17" t="s">
        <v>112</v>
      </c>
      <c r="B21" s="18" t="s">
        <v>107</v>
      </c>
      <c r="C21" s="18" t="s">
        <v>113</v>
      </c>
      <c r="D21" s="18" t="s">
        <v>114</v>
      </c>
      <c r="E21" s="19" t="s">
        <v>84</v>
      </c>
      <c r="F21" s="19" t="s">
        <v>115</v>
      </c>
      <c r="G21" s="19" t="s">
        <v>116</v>
      </c>
      <c r="H21" s="20"/>
      <c r="I21" s="21" t="str">
        <f aca="false">IF($C21="","",IF(H21="","Not assessed",IF(H21="Not applicable","N/A",IF(H21="Met",IF(TRIM(J21)="","OK - evidence not recorded","OK"),IF(OR(H21="Partially met",H21="Not met"),IF(E21="Essential","Priority gap","Gap"),"Check status")))))</f>
        <v>Not assessed</v>
      </c>
      <c r="J21" s="22"/>
      <c r="K21" s="22"/>
      <c r="L21" s="23"/>
      <c r="M21" s="24" t="str">
        <f aca="false">IF(I21="Priority gap",COUNTIF($I$12:I21,"Priority gap"),"")</f>
        <v/>
      </c>
    </row>
    <row r="22" customFormat="false" ht="48" hidden="false" customHeight="true" outlineLevel="0" collapsed="false">
      <c r="A22" s="17" t="s">
        <v>117</v>
      </c>
      <c r="B22" s="18" t="s">
        <v>107</v>
      </c>
      <c r="C22" s="18" t="s">
        <v>118</v>
      </c>
      <c r="D22" s="18" t="s">
        <v>119</v>
      </c>
      <c r="E22" s="19" t="s">
        <v>70</v>
      </c>
      <c r="F22" s="19" t="s">
        <v>120</v>
      </c>
      <c r="G22" s="19" t="s">
        <v>72</v>
      </c>
      <c r="H22" s="20"/>
      <c r="I22" s="21" t="str">
        <f aca="false">IF($C22="","",IF(H22="","Not assessed",IF(H22="Not applicable","N/A",IF(H22="Met",IF(TRIM(J22)="","OK - evidence not recorded","OK"),IF(OR(H22="Partially met",H22="Not met"),IF(E22="Essential","Priority gap","Gap"),"Check status")))))</f>
        <v>Not assessed</v>
      </c>
      <c r="J22" s="22"/>
      <c r="K22" s="22"/>
      <c r="L22" s="23"/>
      <c r="M22" s="24" t="str">
        <f aca="false">IF(I22="Priority gap",COUNTIF($I$12:I22,"Priority gap"),"")</f>
        <v/>
      </c>
    </row>
    <row r="23" customFormat="false" ht="48" hidden="false" customHeight="true" outlineLevel="0" collapsed="false">
      <c r="A23" s="17" t="s">
        <v>121</v>
      </c>
      <c r="B23" s="18" t="s">
        <v>107</v>
      </c>
      <c r="C23" s="18" t="s">
        <v>122</v>
      </c>
      <c r="D23" s="18" t="s">
        <v>123</v>
      </c>
      <c r="E23" s="19" t="s">
        <v>70</v>
      </c>
      <c r="F23" s="19" t="s">
        <v>124</v>
      </c>
      <c r="G23" s="19" t="s">
        <v>111</v>
      </c>
      <c r="H23" s="20"/>
      <c r="I23" s="21" t="str">
        <f aca="false">IF($C23="","",IF(H23="","Not assessed",IF(H23="Not applicable","N/A",IF(H23="Met",IF(TRIM(J23)="","OK - evidence not recorded","OK"),IF(OR(H23="Partially met",H23="Not met"),IF(E23="Essential","Priority gap","Gap"),"Check status")))))</f>
        <v>Not assessed</v>
      </c>
      <c r="J23" s="22"/>
      <c r="K23" s="22"/>
      <c r="L23" s="23"/>
      <c r="M23" s="24" t="str">
        <f aca="false">IF(I23="Priority gap",COUNTIF($I$12:I23,"Priority gap"),"")</f>
        <v/>
      </c>
    </row>
    <row r="24" customFormat="false" ht="48" hidden="false" customHeight="true" outlineLevel="0" collapsed="false">
      <c r="A24" s="17" t="s">
        <v>125</v>
      </c>
      <c r="B24" s="18" t="s">
        <v>126</v>
      </c>
      <c r="C24" s="18" t="s">
        <v>127</v>
      </c>
      <c r="D24" s="18" t="s">
        <v>128</v>
      </c>
      <c r="E24" s="19" t="s">
        <v>70</v>
      </c>
      <c r="F24" s="19" t="s">
        <v>129</v>
      </c>
      <c r="G24" s="19" t="s">
        <v>76</v>
      </c>
      <c r="H24" s="20"/>
      <c r="I24" s="21" t="str">
        <f aca="false">IF($C24="","",IF(H24="","Not assessed",IF(H24="Not applicable","N/A",IF(H24="Met",IF(TRIM(J24)="","OK - evidence not recorded","OK"),IF(OR(H24="Partially met",H24="Not met"),IF(E24="Essential","Priority gap","Gap"),"Check status")))))</f>
        <v>Not assessed</v>
      </c>
      <c r="J24" s="22"/>
      <c r="K24" s="22"/>
      <c r="L24" s="23"/>
      <c r="M24" s="24" t="str">
        <f aca="false">IF(I24="Priority gap",COUNTIF($I$12:I24,"Priority gap"),"")</f>
        <v/>
      </c>
    </row>
    <row r="25" customFormat="false" ht="48" hidden="false" customHeight="true" outlineLevel="0" collapsed="false">
      <c r="A25" s="17" t="s">
        <v>130</v>
      </c>
      <c r="B25" s="18" t="s">
        <v>126</v>
      </c>
      <c r="C25" s="18" t="s">
        <v>131</v>
      </c>
      <c r="D25" s="18" t="s">
        <v>132</v>
      </c>
      <c r="E25" s="19" t="s">
        <v>70</v>
      </c>
      <c r="F25" s="19" t="s">
        <v>133</v>
      </c>
      <c r="G25" s="19" t="s">
        <v>134</v>
      </c>
      <c r="H25" s="20"/>
      <c r="I25" s="21" t="str">
        <f aca="false">IF($C25="","",IF(H25="","Not assessed",IF(H25="Not applicable","N/A",IF(H25="Met",IF(TRIM(J25)="","OK - evidence not recorded","OK"),IF(OR(H25="Partially met",H25="Not met"),IF(E25="Essential","Priority gap","Gap"),"Check status")))))</f>
        <v>Not assessed</v>
      </c>
      <c r="J25" s="22"/>
      <c r="K25" s="22"/>
      <c r="L25" s="23"/>
      <c r="M25" s="24" t="str">
        <f aca="false">IF(I25="Priority gap",COUNTIF($I$12:I25,"Priority gap"),"")</f>
        <v/>
      </c>
    </row>
    <row r="26" customFormat="false" ht="48" hidden="false" customHeight="true" outlineLevel="0" collapsed="false">
      <c r="A26" s="17" t="s">
        <v>135</v>
      </c>
      <c r="B26" s="18" t="s">
        <v>126</v>
      </c>
      <c r="C26" s="18" t="s">
        <v>136</v>
      </c>
      <c r="D26" s="18" t="s">
        <v>137</v>
      </c>
      <c r="E26" s="19" t="s">
        <v>70</v>
      </c>
      <c r="F26" s="19" t="s">
        <v>138</v>
      </c>
      <c r="G26" s="19" t="s">
        <v>139</v>
      </c>
      <c r="H26" s="20"/>
      <c r="I26" s="21" t="str">
        <f aca="false">IF($C26="","",IF(H26="","Not assessed",IF(H26="Not applicable","N/A",IF(H26="Met",IF(TRIM(J26)="","OK - evidence not recorded","OK"),IF(OR(H26="Partially met",H26="Not met"),IF(E26="Essential","Priority gap","Gap"),"Check status")))))</f>
        <v>Not assessed</v>
      </c>
      <c r="J26" s="22"/>
      <c r="K26" s="22"/>
      <c r="L26" s="23"/>
      <c r="M26" s="24" t="str">
        <f aca="false">IF(I26="Priority gap",COUNTIF($I$12:I26,"Priority gap"),"")</f>
        <v/>
      </c>
    </row>
    <row r="27" customFormat="false" ht="48" hidden="false" customHeight="true" outlineLevel="0" collapsed="false">
      <c r="A27" s="17" t="s">
        <v>140</v>
      </c>
      <c r="B27" s="18" t="s">
        <v>126</v>
      </c>
      <c r="C27" s="18" t="s">
        <v>141</v>
      </c>
      <c r="D27" s="18" t="s">
        <v>142</v>
      </c>
      <c r="E27" s="19" t="s">
        <v>70</v>
      </c>
      <c r="F27" s="19" t="s">
        <v>138</v>
      </c>
      <c r="G27" s="19" t="s">
        <v>139</v>
      </c>
      <c r="H27" s="20"/>
      <c r="I27" s="21" t="str">
        <f aca="false">IF($C27="","",IF(H27="","Not assessed",IF(H27="Not applicable","N/A",IF(H27="Met",IF(TRIM(J27)="","OK - evidence not recorded","OK"),IF(OR(H27="Partially met",H27="Not met"),IF(E27="Essential","Priority gap","Gap"),"Check status")))))</f>
        <v>Not assessed</v>
      </c>
      <c r="J27" s="22"/>
      <c r="K27" s="22"/>
      <c r="L27" s="23"/>
      <c r="M27" s="24" t="str">
        <f aca="false">IF(I27="Priority gap",COUNTIF($I$12:I27,"Priority gap"),"")</f>
        <v/>
      </c>
    </row>
    <row r="28" customFormat="false" ht="48" hidden="false" customHeight="true" outlineLevel="0" collapsed="false">
      <c r="A28" s="17" t="s">
        <v>143</v>
      </c>
      <c r="B28" s="18" t="s">
        <v>126</v>
      </c>
      <c r="C28" s="18" t="s">
        <v>144</v>
      </c>
      <c r="D28" s="18" t="s">
        <v>145</v>
      </c>
      <c r="E28" s="19" t="s">
        <v>70</v>
      </c>
      <c r="F28" s="19" t="s">
        <v>133</v>
      </c>
      <c r="G28" s="19" t="s">
        <v>120</v>
      </c>
      <c r="H28" s="20"/>
      <c r="I28" s="21" t="str">
        <f aca="false">IF($C28="","",IF(H28="","Not assessed",IF(H28="Not applicable","N/A",IF(H28="Met",IF(TRIM(J28)="","OK - evidence not recorded","OK"),IF(OR(H28="Partially met",H28="Not met"),IF(E28="Essential","Priority gap","Gap"),"Check status")))))</f>
        <v>Not assessed</v>
      </c>
      <c r="J28" s="22"/>
      <c r="K28" s="22"/>
      <c r="L28" s="23"/>
      <c r="M28" s="24" t="str">
        <f aca="false">IF(I28="Priority gap",COUNTIF($I$12:I28,"Priority gap"),"")</f>
        <v/>
      </c>
    </row>
    <row r="29" customFormat="false" ht="48" hidden="false" customHeight="true" outlineLevel="0" collapsed="false">
      <c r="A29" s="17" t="s">
        <v>146</v>
      </c>
      <c r="B29" s="18" t="s">
        <v>126</v>
      </c>
      <c r="C29" s="18" t="s">
        <v>147</v>
      </c>
      <c r="D29" s="18" t="s">
        <v>148</v>
      </c>
      <c r="E29" s="19" t="s">
        <v>70</v>
      </c>
      <c r="F29" s="19" t="s">
        <v>129</v>
      </c>
      <c r="G29" s="19" t="s">
        <v>76</v>
      </c>
      <c r="H29" s="20"/>
      <c r="I29" s="21" t="str">
        <f aca="false">IF($C29="","",IF(H29="","Not assessed",IF(H29="Not applicable","N/A",IF(H29="Met",IF(TRIM(J29)="","OK - evidence not recorded","OK"),IF(OR(H29="Partially met",H29="Not met"),IF(E29="Essential","Priority gap","Gap"),"Check status")))))</f>
        <v>Not assessed</v>
      </c>
      <c r="J29" s="22"/>
      <c r="K29" s="22"/>
      <c r="L29" s="23"/>
      <c r="M29" s="24" t="str">
        <f aca="false">IF(I29="Priority gap",COUNTIF($I$12:I29,"Priority gap"),"")</f>
        <v/>
      </c>
    </row>
    <row r="30" customFormat="false" ht="48" hidden="false" customHeight="true" outlineLevel="0" collapsed="false">
      <c r="A30" s="17" t="s">
        <v>149</v>
      </c>
      <c r="B30" s="18" t="s">
        <v>150</v>
      </c>
      <c r="C30" s="18" t="s">
        <v>151</v>
      </c>
      <c r="D30" s="18" t="s">
        <v>152</v>
      </c>
      <c r="E30" s="19" t="s">
        <v>70</v>
      </c>
      <c r="F30" s="19" t="s">
        <v>153</v>
      </c>
      <c r="G30" s="19" t="s">
        <v>154</v>
      </c>
      <c r="H30" s="20"/>
      <c r="I30" s="21" t="str">
        <f aca="false">IF($C30="","",IF(H30="","Not assessed",IF(H30="Not applicable","N/A",IF(H30="Met",IF(TRIM(J30)="","OK - evidence not recorded","OK"),IF(OR(H30="Partially met",H30="Not met"),IF(E30="Essential","Priority gap","Gap"),"Check status")))))</f>
        <v>Not assessed</v>
      </c>
      <c r="J30" s="22"/>
      <c r="K30" s="22"/>
      <c r="L30" s="23"/>
      <c r="M30" s="24" t="str">
        <f aca="false">IF(I30="Priority gap",COUNTIF($I$12:I30,"Priority gap"),"")</f>
        <v/>
      </c>
    </row>
    <row r="31" customFormat="false" ht="48" hidden="false" customHeight="true" outlineLevel="0" collapsed="false">
      <c r="A31" s="17" t="s">
        <v>155</v>
      </c>
      <c r="B31" s="18" t="s">
        <v>150</v>
      </c>
      <c r="C31" s="18" t="s">
        <v>156</v>
      </c>
      <c r="D31" s="18" t="s">
        <v>157</v>
      </c>
      <c r="E31" s="19" t="s">
        <v>70</v>
      </c>
      <c r="F31" s="19" t="s">
        <v>158</v>
      </c>
      <c r="G31" s="19" t="s">
        <v>159</v>
      </c>
      <c r="H31" s="20"/>
      <c r="I31" s="21" t="str">
        <f aca="false">IF($C31="","",IF(H31="","Not assessed",IF(H31="Not applicable","N/A",IF(H31="Met",IF(TRIM(J31)="","OK - evidence not recorded","OK"),IF(OR(H31="Partially met",H31="Not met"),IF(E31="Essential","Priority gap","Gap"),"Check status")))))</f>
        <v>Not assessed</v>
      </c>
      <c r="J31" s="22"/>
      <c r="K31" s="22"/>
      <c r="L31" s="23"/>
      <c r="M31" s="24" t="str">
        <f aca="false">IF(I31="Priority gap",COUNTIF($I$12:I31,"Priority gap"),"")</f>
        <v/>
      </c>
    </row>
    <row r="32" customFormat="false" ht="48" hidden="false" customHeight="true" outlineLevel="0" collapsed="false">
      <c r="A32" s="17" t="s">
        <v>160</v>
      </c>
      <c r="B32" s="18" t="s">
        <v>150</v>
      </c>
      <c r="C32" s="18" t="s">
        <v>161</v>
      </c>
      <c r="D32" s="18" t="s">
        <v>162</v>
      </c>
      <c r="E32" s="19" t="s">
        <v>84</v>
      </c>
      <c r="F32" s="19" t="s">
        <v>163</v>
      </c>
      <c r="G32" s="19" t="s">
        <v>164</v>
      </c>
      <c r="H32" s="20"/>
      <c r="I32" s="21" t="str">
        <f aca="false">IF($C32="","",IF(H32="","Not assessed",IF(H32="Not applicable","N/A",IF(H32="Met",IF(TRIM(J32)="","OK - evidence not recorded","OK"),IF(OR(H32="Partially met",H32="Not met"),IF(E32="Essential","Priority gap","Gap"),"Check status")))))</f>
        <v>Not assessed</v>
      </c>
      <c r="J32" s="22"/>
      <c r="K32" s="22"/>
      <c r="L32" s="23"/>
      <c r="M32" s="24" t="str">
        <f aca="false">IF(I32="Priority gap",COUNTIF($I$12:I32,"Priority gap"),"")</f>
        <v/>
      </c>
    </row>
    <row r="33" customFormat="false" ht="48" hidden="false" customHeight="true" outlineLevel="0" collapsed="false">
      <c r="A33" s="17" t="s">
        <v>165</v>
      </c>
      <c r="B33" s="18" t="s">
        <v>150</v>
      </c>
      <c r="C33" s="18" t="s">
        <v>166</v>
      </c>
      <c r="D33" s="18" t="s">
        <v>167</v>
      </c>
      <c r="E33" s="19" t="s">
        <v>70</v>
      </c>
      <c r="F33" s="19" t="s">
        <v>168</v>
      </c>
      <c r="G33" s="19" t="s">
        <v>169</v>
      </c>
      <c r="H33" s="20"/>
      <c r="I33" s="21" t="str">
        <f aca="false">IF($C33="","",IF(H33="","Not assessed",IF(H33="Not applicable","N/A",IF(H33="Met",IF(TRIM(J33)="","OK - evidence not recorded","OK"),IF(OR(H33="Partially met",H33="Not met"),IF(E33="Essential","Priority gap","Gap"),"Check status")))))</f>
        <v>Not assessed</v>
      </c>
      <c r="J33" s="22"/>
      <c r="K33" s="22"/>
      <c r="L33" s="23"/>
      <c r="M33" s="24" t="str">
        <f aca="false">IF(I33="Priority gap",COUNTIF($I$12:I33,"Priority gap"),"")</f>
        <v/>
      </c>
    </row>
    <row r="34" customFormat="false" ht="48" hidden="false" customHeight="true" outlineLevel="0" collapsed="false">
      <c r="A34" s="17" t="s">
        <v>170</v>
      </c>
      <c r="B34" s="18" t="s">
        <v>171</v>
      </c>
      <c r="C34" s="18" t="s">
        <v>172</v>
      </c>
      <c r="D34" s="18" t="s">
        <v>173</v>
      </c>
      <c r="E34" s="19" t="s">
        <v>70</v>
      </c>
      <c r="F34" s="19" t="s">
        <v>174</v>
      </c>
      <c r="G34" s="19" t="s">
        <v>175</v>
      </c>
      <c r="H34" s="20"/>
      <c r="I34" s="21" t="str">
        <f aca="false">IF($C34="","",IF(H34="","Not assessed",IF(H34="Not applicable","N/A",IF(H34="Met",IF(TRIM(J34)="","OK - evidence not recorded","OK"),IF(OR(H34="Partially met",H34="Not met"),IF(E34="Essential","Priority gap","Gap"),"Check status")))))</f>
        <v>Not assessed</v>
      </c>
      <c r="J34" s="22"/>
      <c r="K34" s="22"/>
      <c r="L34" s="23"/>
      <c r="M34" s="24" t="str">
        <f aca="false">IF(I34="Priority gap",COUNTIF($I$12:I34,"Priority gap"),"")</f>
        <v/>
      </c>
    </row>
    <row r="35" customFormat="false" ht="48" hidden="false" customHeight="true" outlineLevel="0" collapsed="false">
      <c r="A35" s="17" t="s">
        <v>176</v>
      </c>
      <c r="B35" s="18" t="s">
        <v>171</v>
      </c>
      <c r="C35" s="18" t="s">
        <v>177</v>
      </c>
      <c r="D35" s="18" t="s">
        <v>178</v>
      </c>
      <c r="E35" s="19" t="s">
        <v>70</v>
      </c>
      <c r="F35" s="19" t="s">
        <v>174</v>
      </c>
      <c r="G35" s="19" t="s">
        <v>175</v>
      </c>
      <c r="H35" s="20"/>
      <c r="I35" s="21" t="str">
        <f aca="false">IF($C35="","",IF(H35="","Not assessed",IF(H35="Not applicable","N/A",IF(H35="Met",IF(TRIM(J35)="","OK - evidence not recorded","OK"),IF(OR(H35="Partially met",H35="Not met"),IF(E35="Essential","Priority gap","Gap"),"Check status")))))</f>
        <v>Not assessed</v>
      </c>
      <c r="J35" s="22"/>
      <c r="K35" s="22"/>
      <c r="L35" s="23"/>
      <c r="M35" s="24" t="str">
        <f aca="false">IF(I35="Priority gap",COUNTIF($I$12:I35,"Priority gap"),"")</f>
        <v/>
      </c>
    </row>
    <row r="36" customFormat="false" ht="48" hidden="false" customHeight="true" outlineLevel="0" collapsed="false">
      <c r="A36" s="17" t="s">
        <v>179</v>
      </c>
      <c r="B36" s="18" t="s">
        <v>171</v>
      </c>
      <c r="C36" s="18" t="s">
        <v>180</v>
      </c>
      <c r="D36" s="18" t="s">
        <v>181</v>
      </c>
      <c r="E36" s="19" t="s">
        <v>84</v>
      </c>
      <c r="F36" s="19" t="s">
        <v>174</v>
      </c>
      <c r="G36" s="19" t="s">
        <v>72</v>
      </c>
      <c r="H36" s="20"/>
      <c r="I36" s="21" t="str">
        <f aca="false">IF($C36="","",IF(H36="","Not assessed",IF(H36="Not applicable","N/A",IF(H36="Met",IF(TRIM(J36)="","OK - evidence not recorded","OK"),IF(OR(H36="Partially met",H36="Not met"),IF(E36="Essential","Priority gap","Gap"),"Check status")))))</f>
        <v>Not assessed</v>
      </c>
      <c r="J36" s="22"/>
      <c r="K36" s="22"/>
      <c r="L36" s="23"/>
      <c r="M36" s="24" t="str">
        <f aca="false">IF(I36="Priority gap",COUNTIF($I$12:I36,"Priority gap"),"")</f>
        <v/>
      </c>
    </row>
    <row r="37" customFormat="false" ht="48" hidden="false" customHeight="true" outlineLevel="0" collapsed="false">
      <c r="A37" s="17" t="s">
        <v>182</v>
      </c>
      <c r="B37" s="18" t="s">
        <v>171</v>
      </c>
      <c r="C37" s="18" t="s">
        <v>183</v>
      </c>
      <c r="D37" s="18" t="s">
        <v>184</v>
      </c>
      <c r="E37" s="19" t="s">
        <v>84</v>
      </c>
      <c r="F37" s="19" t="s">
        <v>185</v>
      </c>
      <c r="G37" s="19" t="s">
        <v>153</v>
      </c>
      <c r="H37" s="20"/>
      <c r="I37" s="21" t="str">
        <f aca="false">IF($C37="","",IF(H37="","Not assessed",IF(H37="Not applicable","N/A",IF(H37="Met",IF(TRIM(J37)="","OK - evidence not recorded","OK"),IF(OR(H37="Partially met",H37="Not met"),IF(E37="Essential","Priority gap","Gap"),"Check status")))))</f>
        <v>Not assessed</v>
      </c>
      <c r="J37" s="22"/>
      <c r="K37" s="22"/>
      <c r="L37" s="23"/>
      <c r="M37" s="24" t="str">
        <f aca="false">IF(I37="Priority gap",COUNTIF($I$12:I37,"Priority gap"),"")</f>
        <v/>
      </c>
    </row>
    <row r="38" customFormat="false" ht="48" hidden="false" customHeight="true" outlineLevel="0" collapsed="false">
      <c r="A38" s="17" t="s">
        <v>186</v>
      </c>
      <c r="B38" s="18" t="s">
        <v>187</v>
      </c>
      <c r="C38" s="18" t="s">
        <v>188</v>
      </c>
      <c r="D38" s="18" t="s">
        <v>189</v>
      </c>
      <c r="E38" s="19" t="s">
        <v>70</v>
      </c>
      <c r="F38" s="19" t="s">
        <v>190</v>
      </c>
      <c r="G38" s="19" t="s">
        <v>72</v>
      </c>
      <c r="H38" s="20"/>
      <c r="I38" s="21" t="str">
        <f aca="false">IF($C38="","",IF(H38="","Not assessed",IF(H38="Not applicable","N/A",IF(H38="Met",IF(TRIM(J38)="","OK - evidence not recorded","OK"),IF(OR(H38="Partially met",H38="Not met"),IF(E38="Essential","Priority gap","Gap"),"Check status")))))</f>
        <v>Not assessed</v>
      </c>
      <c r="J38" s="22"/>
      <c r="K38" s="22"/>
      <c r="L38" s="23"/>
      <c r="M38" s="24" t="str">
        <f aca="false">IF(I38="Priority gap",COUNTIF($I$12:I38,"Priority gap"),"")</f>
        <v/>
      </c>
    </row>
    <row r="39" customFormat="false" ht="48" hidden="false" customHeight="true" outlineLevel="0" collapsed="false">
      <c r="A39" s="17" t="s">
        <v>191</v>
      </c>
      <c r="B39" s="18" t="s">
        <v>187</v>
      </c>
      <c r="C39" s="18" t="s">
        <v>192</v>
      </c>
      <c r="D39" s="18" t="s">
        <v>193</v>
      </c>
      <c r="E39" s="19" t="s">
        <v>70</v>
      </c>
      <c r="F39" s="19" t="s">
        <v>129</v>
      </c>
      <c r="G39" s="19" t="s">
        <v>194</v>
      </c>
      <c r="H39" s="20"/>
      <c r="I39" s="21" t="str">
        <f aca="false">IF($C39="","",IF(H39="","Not assessed",IF(H39="Not applicable","N/A",IF(H39="Met",IF(TRIM(J39)="","OK - evidence not recorded","OK"),IF(OR(H39="Partially met",H39="Not met"),IF(E39="Essential","Priority gap","Gap"),"Check status")))))</f>
        <v>Not assessed</v>
      </c>
      <c r="J39" s="22"/>
      <c r="K39" s="22"/>
      <c r="L39" s="23"/>
      <c r="M39" s="24" t="str">
        <f aca="false">IF(I39="Priority gap",COUNTIF($I$12:I39,"Priority gap"),"")</f>
        <v/>
      </c>
    </row>
    <row r="40" customFormat="false" ht="48" hidden="false" customHeight="true" outlineLevel="0" collapsed="false">
      <c r="A40" s="17" t="s">
        <v>195</v>
      </c>
      <c r="B40" s="18" t="s">
        <v>187</v>
      </c>
      <c r="C40" s="18" t="s">
        <v>196</v>
      </c>
      <c r="D40" s="18" t="s">
        <v>197</v>
      </c>
      <c r="E40" s="19" t="s">
        <v>70</v>
      </c>
      <c r="F40" s="19" t="s">
        <v>168</v>
      </c>
      <c r="G40" s="19" t="s">
        <v>72</v>
      </c>
      <c r="H40" s="20"/>
      <c r="I40" s="21" t="str">
        <f aca="false">IF($C40="","",IF(H40="","Not assessed",IF(H40="Not applicable","N/A",IF(H40="Met",IF(TRIM(J40)="","OK - evidence not recorded","OK"),IF(OR(H40="Partially met",H40="Not met"),IF(E40="Essential","Priority gap","Gap"),"Check status")))))</f>
        <v>Not assessed</v>
      </c>
      <c r="J40" s="22"/>
      <c r="K40" s="22"/>
      <c r="L40" s="23"/>
      <c r="M40" s="24" t="str">
        <f aca="false">IF(I40="Priority gap",COUNTIF($I$12:I40,"Priority gap"),"")</f>
        <v/>
      </c>
    </row>
    <row r="41" customFormat="false" ht="48" hidden="false" customHeight="true" outlineLevel="0" collapsed="false">
      <c r="A41" s="17" t="s">
        <v>198</v>
      </c>
      <c r="B41" s="18" t="s">
        <v>187</v>
      </c>
      <c r="C41" s="18" t="s">
        <v>199</v>
      </c>
      <c r="D41" s="18" t="s">
        <v>200</v>
      </c>
      <c r="E41" s="19" t="s">
        <v>84</v>
      </c>
      <c r="F41" s="19" t="s">
        <v>110</v>
      </c>
      <c r="G41" s="19" t="s">
        <v>72</v>
      </c>
      <c r="H41" s="20"/>
      <c r="I41" s="21" t="str">
        <f aca="false">IF($C41="","",IF(H41="","Not assessed",IF(H41="Not applicable","N/A",IF(H41="Met",IF(TRIM(J41)="","OK - evidence not recorded","OK"),IF(OR(H41="Partially met",H41="Not met"),IF(E41="Essential","Priority gap","Gap"),"Check status")))))</f>
        <v>Not assessed</v>
      </c>
      <c r="J41" s="22"/>
      <c r="K41" s="22"/>
      <c r="L41" s="23"/>
      <c r="M41" s="24" t="str">
        <f aca="false">IF(I41="Priority gap",COUNTIF($I$12:I41,"Priority gap"),"")</f>
        <v/>
      </c>
    </row>
    <row r="42" customFormat="false" ht="48" hidden="false" customHeight="true" outlineLevel="0" collapsed="false">
      <c r="A42" s="17" t="s">
        <v>201</v>
      </c>
      <c r="B42" s="18" t="s">
        <v>202</v>
      </c>
      <c r="C42" s="18" t="s">
        <v>203</v>
      </c>
      <c r="D42" s="18" t="s">
        <v>204</v>
      </c>
      <c r="E42" s="19" t="s">
        <v>70</v>
      </c>
      <c r="F42" s="19" t="s">
        <v>133</v>
      </c>
      <c r="G42" s="19" t="s">
        <v>76</v>
      </c>
      <c r="H42" s="20"/>
      <c r="I42" s="21" t="str">
        <f aca="false">IF($C42="","",IF(H42="","Not assessed",IF(H42="Not applicable","N/A",IF(H42="Met",IF(TRIM(J42)="","OK - evidence not recorded","OK"),IF(OR(H42="Partially met",H42="Not met"),IF(E42="Essential","Priority gap","Gap"),"Check status")))))</f>
        <v>Not assessed</v>
      </c>
      <c r="J42" s="22"/>
      <c r="K42" s="22"/>
      <c r="L42" s="23"/>
      <c r="M42" s="24" t="str">
        <f aca="false">IF(I42="Priority gap",COUNTIF($I$12:I42,"Priority gap"),"")</f>
        <v/>
      </c>
    </row>
    <row r="43" customFormat="false" ht="48" hidden="false" customHeight="true" outlineLevel="0" collapsed="false">
      <c r="A43" s="17" t="s">
        <v>205</v>
      </c>
      <c r="B43" s="18" t="s">
        <v>202</v>
      </c>
      <c r="C43" s="18" t="s">
        <v>206</v>
      </c>
      <c r="D43" s="18" t="s">
        <v>207</v>
      </c>
      <c r="E43" s="19" t="s">
        <v>70</v>
      </c>
      <c r="F43" s="19" t="s">
        <v>133</v>
      </c>
      <c r="G43" s="19" t="s">
        <v>72</v>
      </c>
      <c r="H43" s="20"/>
      <c r="I43" s="21" t="str">
        <f aca="false">IF($C43="","",IF(H43="","Not assessed",IF(H43="Not applicable","N/A",IF(H43="Met",IF(TRIM(J43)="","OK - evidence not recorded","OK"),IF(OR(H43="Partially met",H43="Not met"),IF(E43="Essential","Priority gap","Gap"),"Check status")))))</f>
        <v>Not assessed</v>
      </c>
      <c r="J43" s="22"/>
      <c r="K43" s="22"/>
      <c r="L43" s="23"/>
      <c r="M43" s="24" t="str">
        <f aca="false">IF(I43="Priority gap",COUNTIF($I$12:I43,"Priority gap"),"")</f>
        <v/>
      </c>
    </row>
    <row r="44" customFormat="false" ht="48" hidden="false" customHeight="true" outlineLevel="0" collapsed="false">
      <c r="A44" s="17" t="s">
        <v>208</v>
      </c>
      <c r="B44" s="18" t="s">
        <v>202</v>
      </c>
      <c r="C44" s="18" t="s">
        <v>209</v>
      </c>
      <c r="D44" s="18" t="s">
        <v>210</v>
      </c>
      <c r="E44" s="19" t="s">
        <v>84</v>
      </c>
      <c r="F44" s="19" t="s">
        <v>211</v>
      </c>
      <c r="G44" s="19" t="s">
        <v>194</v>
      </c>
      <c r="H44" s="20"/>
      <c r="I44" s="21" t="str">
        <f aca="false">IF($C44="","",IF(H44="","Not assessed",IF(H44="Not applicable","N/A",IF(H44="Met",IF(TRIM(J44)="","OK - evidence not recorded","OK"),IF(OR(H44="Partially met",H44="Not met"),IF(E44="Essential","Priority gap","Gap"),"Check status")))))</f>
        <v>Not assessed</v>
      </c>
      <c r="J44" s="22"/>
      <c r="K44" s="22"/>
      <c r="L44" s="23"/>
      <c r="M44" s="24" t="str">
        <f aca="false">IF(I44="Priority gap",COUNTIF($I$12:I44,"Priority gap"),"")</f>
        <v/>
      </c>
    </row>
    <row r="45" customFormat="false" ht="48" hidden="false" customHeight="true" outlineLevel="0" collapsed="false">
      <c r="A45" s="17" t="s">
        <v>212</v>
      </c>
      <c r="B45" s="18" t="s">
        <v>213</v>
      </c>
      <c r="C45" s="18" t="s">
        <v>214</v>
      </c>
      <c r="D45" s="18" t="s">
        <v>215</v>
      </c>
      <c r="E45" s="19" t="s">
        <v>70</v>
      </c>
      <c r="F45" s="19" t="s">
        <v>216</v>
      </c>
      <c r="G45" s="19" t="s">
        <v>174</v>
      </c>
      <c r="H45" s="20"/>
      <c r="I45" s="21" t="str">
        <f aca="false">IF($C45="","",IF(H45="","Not assessed",IF(H45="Not applicable","N/A",IF(H45="Met",IF(TRIM(J45)="","OK - evidence not recorded","OK"),IF(OR(H45="Partially met",H45="Not met"),IF(E45="Essential","Priority gap","Gap"),"Check status")))))</f>
        <v>Not assessed</v>
      </c>
      <c r="J45" s="22"/>
      <c r="K45" s="22"/>
      <c r="L45" s="23"/>
      <c r="M45" s="24" t="str">
        <f aca="false">IF(I45="Priority gap",COUNTIF($I$12:I45,"Priority gap"),"")</f>
        <v/>
      </c>
    </row>
    <row r="46" customFormat="false" ht="48" hidden="false" customHeight="true" outlineLevel="0" collapsed="false">
      <c r="A46" s="17" t="s">
        <v>217</v>
      </c>
      <c r="B46" s="18" t="s">
        <v>213</v>
      </c>
      <c r="C46" s="18" t="s">
        <v>218</v>
      </c>
      <c r="D46" s="18" t="s">
        <v>219</v>
      </c>
      <c r="E46" s="19" t="s">
        <v>84</v>
      </c>
      <c r="F46" s="19" t="s">
        <v>220</v>
      </c>
      <c r="G46" s="19" t="s">
        <v>221</v>
      </c>
      <c r="H46" s="20"/>
      <c r="I46" s="21" t="str">
        <f aca="false">IF($C46="","",IF(H46="","Not assessed",IF(H46="Not applicable","N/A",IF(H46="Met",IF(TRIM(J46)="","OK - evidence not recorded","OK"),IF(OR(H46="Partially met",H46="Not met"),IF(E46="Essential","Priority gap","Gap"),"Check status")))))</f>
        <v>Not assessed</v>
      </c>
      <c r="J46" s="22"/>
      <c r="K46" s="22"/>
      <c r="L46" s="23"/>
      <c r="M46" s="24" t="str">
        <f aca="false">IF(I46="Priority gap",COUNTIF($I$12:I46,"Priority gap"),"")</f>
        <v/>
      </c>
    </row>
    <row r="47" customFormat="false" ht="48" hidden="false" customHeight="true" outlineLevel="0" collapsed="false">
      <c r="A47" s="17" t="s">
        <v>222</v>
      </c>
      <c r="B47" s="18" t="s">
        <v>213</v>
      </c>
      <c r="C47" s="18" t="s">
        <v>223</v>
      </c>
      <c r="D47" s="18" t="s">
        <v>224</v>
      </c>
      <c r="E47" s="19" t="s">
        <v>84</v>
      </c>
      <c r="F47" s="19" t="s">
        <v>225</v>
      </c>
      <c r="G47" s="19" t="s">
        <v>72</v>
      </c>
      <c r="H47" s="20"/>
      <c r="I47" s="21" t="str">
        <f aca="false">IF($C47="","",IF(H47="","Not assessed",IF(H47="Not applicable","N/A",IF(H47="Met",IF(TRIM(J47)="","OK - evidence not recorded","OK"),IF(OR(H47="Partially met",H47="Not met"),IF(E47="Essential","Priority gap","Gap"),"Check status")))))</f>
        <v>Not assessed</v>
      </c>
      <c r="J47" s="22"/>
      <c r="K47" s="22"/>
      <c r="L47" s="23"/>
      <c r="M47" s="24" t="str">
        <f aca="false">IF(I47="Priority gap",COUNTIF($I$12:I47,"Priority gap"),"")</f>
        <v/>
      </c>
    </row>
    <row r="48" customFormat="false" ht="48" hidden="false" customHeight="true" outlineLevel="0" collapsed="false">
      <c r="A48" s="17" t="s">
        <v>226</v>
      </c>
      <c r="B48" s="18" t="s">
        <v>227</v>
      </c>
      <c r="C48" s="18" t="s">
        <v>228</v>
      </c>
      <c r="D48" s="18" t="s">
        <v>229</v>
      </c>
      <c r="E48" s="19" t="s">
        <v>84</v>
      </c>
      <c r="F48" s="19" t="s">
        <v>221</v>
      </c>
      <c r="G48" s="19" t="s">
        <v>72</v>
      </c>
      <c r="H48" s="20"/>
      <c r="I48" s="21" t="str">
        <f aca="false">IF($C48="","",IF(H48="","Not assessed",IF(H48="Not applicable","N/A",IF(H48="Met",IF(TRIM(J48)="","OK - evidence not recorded","OK"),IF(OR(H48="Partially met",H48="Not met"),IF(E48="Essential","Priority gap","Gap"),"Check status")))))</f>
        <v>Not assessed</v>
      </c>
      <c r="J48" s="22"/>
      <c r="K48" s="22"/>
      <c r="L48" s="23"/>
      <c r="M48" s="24" t="str">
        <f aca="false">IF(I48="Priority gap",COUNTIF($I$12:I48,"Priority gap"),"")</f>
        <v/>
      </c>
    </row>
    <row r="49" customFormat="false" ht="48" hidden="false" customHeight="true" outlineLevel="0" collapsed="false">
      <c r="A49" s="17" t="s">
        <v>230</v>
      </c>
      <c r="B49" s="18" t="s">
        <v>227</v>
      </c>
      <c r="C49" s="18" t="s">
        <v>231</v>
      </c>
      <c r="D49" s="18" t="s">
        <v>232</v>
      </c>
      <c r="E49" s="19" t="s">
        <v>84</v>
      </c>
      <c r="F49" s="19" t="s">
        <v>124</v>
      </c>
      <c r="G49" s="19" t="s">
        <v>111</v>
      </c>
      <c r="H49" s="20"/>
      <c r="I49" s="21" t="str">
        <f aca="false">IF($C49="","",IF(H49="","Not assessed",IF(H49="Not applicable","N/A",IF(H49="Met",IF(TRIM(J49)="","OK - evidence not recorded","OK"),IF(OR(H49="Partially met",H49="Not met"),IF(E49="Essential","Priority gap","Gap"),"Check status")))))</f>
        <v>Not assessed</v>
      </c>
      <c r="J49" s="22"/>
      <c r="K49" s="22"/>
      <c r="L49" s="23"/>
      <c r="M49" s="24" t="str">
        <f aca="false">IF(I49="Priority gap",COUNTIF($I$12:I49,"Priority gap"),"")</f>
        <v/>
      </c>
    </row>
    <row r="50" customFormat="false" ht="48" hidden="false" customHeight="true" outlineLevel="0" collapsed="false">
      <c r="A50" s="17" t="s">
        <v>233</v>
      </c>
      <c r="B50" s="18" t="s">
        <v>227</v>
      </c>
      <c r="C50" s="18" t="s">
        <v>234</v>
      </c>
      <c r="D50" s="18" t="s">
        <v>235</v>
      </c>
      <c r="E50" s="19" t="s">
        <v>84</v>
      </c>
      <c r="F50" s="19" t="s">
        <v>236</v>
      </c>
      <c r="G50" s="19" t="s">
        <v>237</v>
      </c>
      <c r="H50" s="20"/>
      <c r="I50" s="21" t="str">
        <f aca="false">IF($C50="","",IF(H50="","Not assessed",IF(H50="Not applicable","N/A",IF(H50="Met",IF(TRIM(J50)="","OK - evidence not recorded","OK"),IF(OR(H50="Partially met",H50="Not met"),IF(E50="Essential","Priority gap","Gap"),"Check status")))))</f>
        <v>Not assessed</v>
      </c>
      <c r="J50" s="22"/>
      <c r="K50" s="22"/>
      <c r="L50" s="23"/>
      <c r="M50" s="24" t="str">
        <f aca="false">IF(I50="Priority gap",COUNTIF($I$12:I50,"Priority gap"),"")</f>
        <v/>
      </c>
    </row>
    <row r="51" customFormat="false" ht="48" hidden="false" customHeight="true" outlineLevel="0" collapsed="false">
      <c r="A51" s="17" t="s">
        <v>238</v>
      </c>
      <c r="B51" s="18" t="s">
        <v>227</v>
      </c>
      <c r="C51" s="18" t="s">
        <v>239</v>
      </c>
      <c r="D51" s="18" t="s">
        <v>240</v>
      </c>
      <c r="E51" s="19" t="s">
        <v>84</v>
      </c>
      <c r="F51" s="19" t="s">
        <v>241</v>
      </c>
      <c r="G51" s="19" t="s">
        <v>242</v>
      </c>
      <c r="H51" s="20"/>
      <c r="I51" s="21" t="str">
        <f aca="false">IF($C51="","",IF(H51="","Not assessed",IF(H51="Not applicable","N/A",IF(H51="Met",IF(TRIM(J51)="","OK - evidence not recorded","OK"),IF(OR(H51="Partially met",H51="Not met"),IF(E51="Essential","Priority gap","Gap"),"Check status")))))</f>
        <v>Not assessed</v>
      </c>
      <c r="J51" s="22"/>
      <c r="K51" s="22"/>
      <c r="L51" s="23"/>
      <c r="M51" s="24" t="str">
        <f aca="false">IF(I51="Priority gap",COUNTIF($I$12:I51,"Priority gap"),"")</f>
        <v/>
      </c>
    </row>
    <row r="52" customFormat="false" ht="48" hidden="false" customHeight="true" outlineLevel="0" collapsed="false">
      <c r="A52" s="17" t="s">
        <v>243</v>
      </c>
      <c r="B52" s="18" t="s">
        <v>227</v>
      </c>
      <c r="C52" s="18" t="s">
        <v>244</v>
      </c>
      <c r="D52" s="18" t="s">
        <v>245</v>
      </c>
      <c r="E52" s="19" t="s">
        <v>84</v>
      </c>
      <c r="F52" s="19" t="s">
        <v>246</v>
      </c>
      <c r="G52" s="19" t="s">
        <v>72</v>
      </c>
      <c r="H52" s="20"/>
      <c r="I52" s="21" t="str">
        <f aca="false">IF($C52="","",IF(H52="","Not assessed",IF(H52="Not applicable","N/A",IF(H52="Met",IF(TRIM(J52)="","OK - evidence not recorded","OK"),IF(OR(H52="Partially met",H52="Not met"),IF(E52="Essential","Priority gap","Gap"),"Check status")))))</f>
        <v>Not assessed</v>
      </c>
      <c r="J52" s="22"/>
      <c r="K52" s="22"/>
      <c r="L52" s="23"/>
      <c r="M52" s="24" t="str">
        <f aca="false">IF(I52="Priority gap",COUNTIF($I$12:I52,"Priority gap"),"")</f>
        <v/>
      </c>
    </row>
    <row r="53" customFormat="false" ht="48" hidden="false" customHeight="true" outlineLevel="0" collapsed="false">
      <c r="A53" s="20"/>
      <c r="B53" s="18" t="s">
        <v>247</v>
      </c>
      <c r="C53" s="22"/>
      <c r="D53" s="22"/>
      <c r="E53" s="20"/>
      <c r="F53" s="19" t="s">
        <v>72</v>
      </c>
      <c r="G53" s="19" t="s">
        <v>72</v>
      </c>
      <c r="H53" s="20"/>
      <c r="I53" s="21" t="str">
        <f aca="false">IF($C53="","",IF(H53="","Not assessed",IF(H53="Not applicable","N/A",IF(H53="Met",IF(TRIM(J53)="","OK - evidence not recorded","OK"),IF(OR(H53="Partially met",H53="Not met"),IF(E53="Essential","Priority gap","Gap"),"Check status")))))</f>
        <v/>
      </c>
      <c r="J53" s="22"/>
      <c r="K53" s="22"/>
      <c r="L53" s="23"/>
      <c r="M53" s="24" t="str">
        <f aca="false">IF(I53="Priority gap",COUNTIF($I$12:I53,"Priority gap"),"")</f>
        <v/>
      </c>
    </row>
    <row r="54" customFormat="false" ht="48" hidden="false" customHeight="true" outlineLevel="0" collapsed="false">
      <c r="A54" s="20"/>
      <c r="B54" s="18" t="s">
        <v>247</v>
      </c>
      <c r="C54" s="22"/>
      <c r="D54" s="22"/>
      <c r="E54" s="20"/>
      <c r="F54" s="19" t="s">
        <v>72</v>
      </c>
      <c r="G54" s="19" t="s">
        <v>72</v>
      </c>
      <c r="H54" s="20"/>
      <c r="I54" s="21" t="str">
        <f aca="false">IF($C54="","",IF(H54="","Not assessed",IF(H54="Not applicable","N/A",IF(H54="Met",IF(TRIM(J54)="","OK - evidence not recorded","OK"),IF(OR(H54="Partially met",H54="Not met"),IF(E54="Essential","Priority gap","Gap"),"Check status")))))</f>
        <v/>
      </c>
      <c r="J54" s="22"/>
      <c r="K54" s="22"/>
      <c r="L54" s="23"/>
      <c r="M54" s="24" t="str">
        <f aca="false">IF(I54="Priority gap",COUNTIF($I$12:I54,"Priority gap"),"")</f>
        <v/>
      </c>
    </row>
    <row r="55" customFormat="false" ht="48" hidden="false" customHeight="true" outlineLevel="0" collapsed="false">
      <c r="A55" s="20"/>
      <c r="B55" s="18" t="s">
        <v>247</v>
      </c>
      <c r="C55" s="22"/>
      <c r="D55" s="22"/>
      <c r="E55" s="20"/>
      <c r="F55" s="19" t="s">
        <v>72</v>
      </c>
      <c r="G55" s="19" t="s">
        <v>72</v>
      </c>
      <c r="H55" s="20"/>
      <c r="I55" s="21" t="str">
        <f aca="false">IF($C55="","",IF(H55="","Not assessed",IF(H55="Not applicable","N/A",IF(H55="Met",IF(TRIM(J55)="","OK - evidence not recorded","OK"),IF(OR(H55="Partially met",H55="Not met"),IF(E55="Essential","Priority gap","Gap"),"Check status")))))</f>
        <v/>
      </c>
      <c r="J55" s="22"/>
      <c r="K55" s="22"/>
      <c r="L55" s="23"/>
      <c r="M55" s="24" t="str">
        <f aca="false">IF(I55="Priority gap",COUNTIF($I$12:I55,"Priority gap"),"")</f>
        <v/>
      </c>
    </row>
    <row r="56" customFormat="false" ht="48" hidden="false" customHeight="true" outlineLevel="0" collapsed="false">
      <c r="A56" s="20"/>
      <c r="B56" s="18" t="s">
        <v>247</v>
      </c>
      <c r="C56" s="22"/>
      <c r="D56" s="22"/>
      <c r="E56" s="20"/>
      <c r="F56" s="19" t="s">
        <v>72</v>
      </c>
      <c r="G56" s="19" t="s">
        <v>72</v>
      </c>
      <c r="H56" s="20"/>
      <c r="I56" s="21" t="str">
        <f aca="false">IF($C56="","",IF(H56="","Not assessed",IF(H56="Not applicable","N/A",IF(H56="Met",IF(TRIM(J56)="","OK - evidence not recorded","OK"),IF(OR(H56="Partially met",H56="Not met"),IF(E56="Essential","Priority gap","Gap"),"Check status")))))</f>
        <v/>
      </c>
      <c r="J56" s="22"/>
      <c r="K56" s="22"/>
      <c r="L56" s="23"/>
      <c r="M56" s="24" t="str">
        <f aca="false">IF(I56="Priority gap",COUNTIF($I$12:I56,"Priority gap"),"")</f>
        <v/>
      </c>
    </row>
  </sheetData>
  <sheetProtection sheet="true" formatColumns="false" formatRows="false" sort="false" autoFilter="false"/>
  <autoFilter ref="A11:L56"/>
  <mergeCells count="8">
    <mergeCell ref="A6:B6"/>
    <mergeCell ref="C6:D6"/>
    <mergeCell ref="A7:B7"/>
    <mergeCell ref="C7:D7"/>
    <mergeCell ref="A8:B8"/>
    <mergeCell ref="C8:D8"/>
    <mergeCell ref="A9:B9"/>
    <mergeCell ref="C9:D9"/>
  </mergeCells>
  <conditionalFormatting sqref="I12:I56">
    <cfRule type="expression" priority="2" aboveAverage="0" equalAverage="0" bottom="0" percent="0" rank="0" text="" dxfId="6">
      <formula>I12="Priority gap"</formula>
    </cfRule>
    <cfRule type="expression" priority="3" aboveAverage="0" equalAverage="0" bottom="0" percent="0" rank="0" text="" dxfId="7">
      <formula>I12="Gap"</formula>
    </cfRule>
    <cfRule type="expression" priority="4" aboveAverage="0" equalAverage="0" bottom="0" percent="0" rank="0" text="" dxfId="8">
      <formula>I12="OK"</formula>
    </cfRule>
    <cfRule type="expression" priority="5" aboveAverage="0" equalAverage="0" bottom="0" percent="0" rank="0" text="" dxfId="9">
      <formula>I12="OK - evidence not recorded"</formula>
    </cfRule>
    <cfRule type="expression" priority="6" aboveAverage="0" equalAverage="0" bottom="0" percent="0" rank="0" text="" dxfId="10">
      <formula>I12="Not assessed"</formula>
    </cfRule>
  </conditionalFormatting>
  <dataValidations count="3">
    <dataValidation allowBlank="true" error="Choose Met, Partially met, Not met or Not applicable (or leave blank)." errorStyle="stop" errorTitle="Status" operator="between" prompt="Met / Partially met / Not met / Not applicable. Leave blank if not yet assessed." promptTitle="Status" showDropDown="false" showErrorMessage="true" showInputMessage="true" sqref="H12:H56" type="list">
      <formula1>"Met,Partially met,Not met,Not applicable"</formula1>
      <formula2>0</formula2>
    </dataValidation>
    <dataValidation allowBlank="true" errorStyle="stop" operator="between" showDropDown="false" showErrorMessage="true" showInputMessage="false" sqref="E53:E56" type="list">
      <formula1>"Essential,Recommended"</formula1>
      <formula2>0</formula2>
    </dataValidation>
    <dataValidation allowBlank="true" error="Enter a valid date." errorStyle="stop" errorTitle="Date" operator="greaterThan" showDropDown="false" showErrorMessage="true" showInputMessage="false" sqref="C9 L12:L56" type="date">
      <formula1>36526</formula1>
      <formula2>0</formula2>
    </dataValidation>
  </dataValidations>
  <printOptions headings="false" gridLines="false" gridLinesSet="true" horizontalCentered="false" verticalCentered="false"/>
  <pageMargins left="0.4" right="0.4" top="0.5" bottom="0.7"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&amp;L&amp;"Arial,Regular"&amp;7 This resource is provided under the dataintelligenceinsights.com Standard Use Licence v1.0. © dataintelligenceinsights.com. All rights reserved.&amp;R&amp;"Arial,Regular"&amp;7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
    <col collapsed="false" customWidth="true" hidden="false" outlineLevel="0" max="3" min="3" style="0" width="11"/>
    <col collapsed="false" customWidth="true" hidden="false" outlineLevel="0" max="4" min="4" style="0" width="10"/>
    <col collapsed="false" customWidth="true" hidden="false" outlineLevel="0" max="5" min="5" style="0" width="11"/>
    <col collapsed="false" customWidth="true" hidden="false" outlineLevel="0" max="7" min="6" style="0" width="10"/>
    <col collapsed="false" customWidth="true" hidden="false" outlineLevel="0" max="8" min="8" style="0" width="11"/>
    <col collapsed="false" customWidth="true" hidden="false" outlineLevel="0" max="10" min="9" style="0" width="12"/>
    <col collapsed="false" customWidth="true" hidden="false" outlineLevel="0" max="11" min="11" style="0" width="3"/>
    <col collapsed="false" customWidth="true" hidden="false" outlineLevel="0" max="12" min="12" style="0" width="9"/>
    <col collapsed="false" customWidth="true" hidden="false" outlineLevel="0" max="13" min="13" style="0" width="60"/>
    <col collapsed="false" customWidth="true" hidden="false" outlineLevel="0" max="14" min="14" style="0" width="16"/>
    <col collapsed="false" customWidth="true" hidden="false" outlineLevel="0" max="15" min="15" style="0" width="12"/>
  </cols>
  <sheetData>
    <row r="1" customFormat="false" ht="30" hidden="false" customHeight="true" outlineLevel="0" collapsed="false"/>
    <row r="2" customFormat="false" ht="7.5" hidden="false" customHeight="true" outlineLevel="0" collapsed="false"/>
    <row r="3" customFormat="false" ht="19.7" hidden="false" customHeight="false" outlineLevel="0" collapsed="false">
      <c r="A3" s="1" t="s">
        <v>248</v>
      </c>
    </row>
    <row r="4" customFormat="false" ht="15" hidden="false" customHeight="false" outlineLevel="0" collapsed="false">
      <c r="A4" s="2" t="s">
        <v>249</v>
      </c>
      <c r="B4" s="3"/>
      <c r="C4" s="3"/>
      <c r="D4" s="3"/>
      <c r="E4" s="3"/>
      <c r="F4" s="3"/>
      <c r="G4" s="3"/>
      <c r="H4" s="3"/>
      <c r="I4" s="3"/>
      <c r="J4" s="3"/>
    </row>
    <row r="6" customFormat="false" ht="15" hidden="false" customHeight="false" outlineLevel="0" collapsed="false">
      <c r="A6" s="25" t="s">
        <v>54</v>
      </c>
      <c r="B6" s="26" t="str">
        <f aca="false">IF(Checklist!C6="","(not entered)",Checklist!C6)</f>
        <v>(not entered)</v>
      </c>
      <c r="C6" s="26"/>
      <c r="D6" s="26"/>
      <c r="E6" s="26"/>
      <c r="F6" s="26"/>
      <c r="L6" s="27" t="s">
        <v>250</v>
      </c>
      <c r="M6" s="8"/>
      <c r="N6" s="8"/>
      <c r="O6" s="8"/>
    </row>
    <row r="7" customFormat="false" ht="15" hidden="false" customHeight="false" outlineLevel="0" collapsed="false">
      <c r="A7" s="25" t="s">
        <v>57</v>
      </c>
      <c r="B7" s="28" t="str">
        <f aca="false">IF(Checklist!C9="","(not entered)",Checklist!C9)</f>
        <v>(not entered)</v>
      </c>
      <c r="C7" s="28"/>
      <c r="D7" s="28"/>
      <c r="E7" s="28"/>
      <c r="F7" s="28"/>
      <c r="L7" s="29" t="s">
        <v>58</v>
      </c>
      <c r="M7" s="29" t="s">
        <v>41</v>
      </c>
      <c r="N7" s="29" t="s">
        <v>63</v>
      </c>
      <c r="O7" s="29" t="s">
        <v>64</v>
      </c>
    </row>
    <row r="8" customFormat="false" ht="24" hidden="false" customHeight="true" outlineLevel="0" collapsed="false">
      <c r="L8" s="30" t="str">
        <f aca="false">IFERROR(INDEX(Checklist!$A$12:$A$56,MATCH(1,Checklist!$M$12:$M$56,0)),"")</f>
        <v/>
      </c>
      <c r="M8" s="31" t="str">
        <f aca="false">IFERROR(INDEX(Checklist!$C$12:$C$56,MATCH(1,Checklist!$M$12:$M$56,0)),"")</f>
        <v/>
      </c>
      <c r="N8" s="30" t="str">
        <f aca="false">IFERROR(IF(INDEX(Checklist!$K$12:$K$56,MATCH(1,Checklist!$M$12:$M$56,0))="","(unassigned)",INDEX(Checklist!$K$12:$K$56,MATCH(1,Checklist!$M$12:$M$56,0))),"")</f>
        <v/>
      </c>
      <c r="O8" s="32" t="str">
        <f aca="false">IFERROR(IF(INDEX(Checklist!$L$12:$L$56,MATCH(1,Checklist!$M$12:$M$56,0))="","(none)",INDEX(Checklist!$L$12:$L$56,MATCH(1,Checklist!$M$12:$M$56,0))),"")</f>
        <v/>
      </c>
    </row>
    <row r="9" customFormat="false" ht="24" hidden="false" customHeight="true" outlineLevel="0" collapsed="false">
      <c r="A9" s="27" t="s">
        <v>251</v>
      </c>
      <c r="B9" s="8"/>
      <c r="C9" s="8"/>
      <c r="D9" s="8"/>
      <c r="E9" s="8"/>
      <c r="F9" s="8"/>
      <c r="G9" s="8"/>
      <c r="H9" s="8"/>
      <c r="I9" s="8"/>
      <c r="J9" s="8"/>
      <c r="L9" s="30" t="str">
        <f aca="false">IFERROR(INDEX(Checklist!$A$12:$A$56,MATCH(2,Checklist!$M$12:$M$56,0)),"")</f>
        <v/>
      </c>
      <c r="M9" s="31" t="str">
        <f aca="false">IFERROR(INDEX(Checklist!$C$12:$C$56,MATCH(2,Checklist!$M$12:$M$56,0)),"")</f>
        <v/>
      </c>
      <c r="N9" s="30" t="str">
        <f aca="false">IFERROR(IF(INDEX(Checklist!$K$12:$K$56,MATCH(2,Checklist!$M$12:$M$56,0))="","(unassigned)",INDEX(Checklist!$K$12:$K$56,MATCH(2,Checklist!$M$12:$M$56,0))),"")</f>
        <v/>
      </c>
      <c r="O9" s="32" t="str">
        <f aca="false">IFERROR(IF(INDEX(Checklist!$L$12:$L$56,MATCH(2,Checklist!$M$12:$M$56,0))="","(none)",INDEX(Checklist!$L$12:$L$56,MATCH(2,Checklist!$M$12:$M$56,0))),"")</f>
        <v/>
      </c>
    </row>
    <row r="10" customFormat="false" ht="24" hidden="false" customHeight="true" outlineLevel="0" collapsed="false">
      <c r="A10" s="33" t="s">
        <v>252</v>
      </c>
      <c r="B10" s="34" t="n">
        <f aca="false">COUNTIF(Checklist!$C$12:$C$56,"?*")</f>
        <v>41</v>
      </c>
      <c r="L10" s="30" t="str">
        <f aca="false">IFERROR(INDEX(Checklist!$A$12:$A$56,MATCH(3,Checklist!$M$12:$M$56,0)),"")</f>
        <v/>
      </c>
      <c r="M10" s="31" t="str">
        <f aca="false">IFERROR(INDEX(Checklist!$C$12:$C$56,MATCH(3,Checklist!$M$12:$M$56,0)),"")</f>
        <v/>
      </c>
      <c r="N10" s="30" t="str">
        <f aca="false">IFERROR(IF(INDEX(Checklist!$K$12:$K$56,MATCH(3,Checklist!$M$12:$M$56,0))="","(unassigned)",INDEX(Checklist!$K$12:$K$56,MATCH(3,Checklist!$M$12:$M$56,0))),"")</f>
        <v/>
      </c>
      <c r="O10" s="32" t="str">
        <f aca="false">IFERROR(IF(INDEX(Checklist!$L$12:$L$56,MATCH(3,Checklist!$M$12:$M$56,0))="","(none)",INDEX(Checklist!$L$12:$L$56,MATCH(3,Checklist!$M$12:$M$56,0))),"")</f>
        <v/>
      </c>
    </row>
    <row r="11" customFormat="false" ht="24" hidden="false" customHeight="true" outlineLevel="0" collapsed="false">
      <c r="A11" s="33" t="s">
        <v>253</v>
      </c>
      <c r="B11" s="34" t="n">
        <f aca="false">COUNTIFS(Checklist!$C$12:$C$56,"?*",Checklist!$H$12:$H$56,"?*")</f>
        <v>0</v>
      </c>
      <c r="L11" s="30" t="str">
        <f aca="false">IFERROR(INDEX(Checklist!$A$12:$A$56,MATCH(4,Checklist!$M$12:$M$56,0)),"")</f>
        <v/>
      </c>
      <c r="M11" s="31" t="str">
        <f aca="false">IFERROR(INDEX(Checklist!$C$12:$C$56,MATCH(4,Checklist!$M$12:$M$56,0)),"")</f>
        <v/>
      </c>
      <c r="N11" s="30" t="str">
        <f aca="false">IFERROR(IF(INDEX(Checklist!$K$12:$K$56,MATCH(4,Checklist!$M$12:$M$56,0))="","(unassigned)",INDEX(Checklist!$K$12:$K$56,MATCH(4,Checklist!$M$12:$M$56,0))),"")</f>
        <v/>
      </c>
      <c r="O11" s="32" t="str">
        <f aca="false">IFERROR(IF(INDEX(Checklist!$L$12:$L$56,MATCH(4,Checklist!$M$12:$M$56,0))="","(none)",INDEX(Checklist!$L$12:$L$56,MATCH(4,Checklist!$M$12:$M$56,0))),"")</f>
        <v/>
      </c>
    </row>
    <row r="12" customFormat="false" ht="24" hidden="false" customHeight="true" outlineLevel="0" collapsed="false">
      <c r="A12" s="33" t="s">
        <v>32</v>
      </c>
      <c r="B12" s="35" t="n">
        <f aca="false">IF(B10=0,"-",B11/B10)</f>
        <v>0</v>
      </c>
      <c r="L12" s="30" t="str">
        <f aca="false">IFERROR(INDEX(Checklist!$A$12:$A$56,MATCH(5,Checklist!$M$12:$M$56,0)),"")</f>
        <v/>
      </c>
      <c r="M12" s="31" t="str">
        <f aca="false">IFERROR(INDEX(Checklist!$C$12:$C$56,MATCH(5,Checklist!$M$12:$M$56,0)),"")</f>
        <v/>
      </c>
      <c r="N12" s="30" t="str">
        <f aca="false">IFERROR(IF(INDEX(Checklist!$K$12:$K$56,MATCH(5,Checklist!$M$12:$M$56,0))="","(unassigned)",INDEX(Checklist!$K$12:$K$56,MATCH(5,Checklist!$M$12:$M$56,0))),"")</f>
        <v/>
      </c>
      <c r="O12" s="32" t="str">
        <f aca="false">IFERROR(IF(INDEX(Checklist!$L$12:$L$56,MATCH(5,Checklist!$M$12:$M$56,0))="","(none)",INDEX(Checklist!$L$12:$L$56,MATCH(5,Checklist!$M$12:$M$56,0))),"")</f>
        <v/>
      </c>
    </row>
    <row r="13" customFormat="false" ht="24" hidden="false" customHeight="true" outlineLevel="0" collapsed="false">
      <c r="A13" s="33" t="s">
        <v>34</v>
      </c>
      <c r="B13" s="35" t="str">
        <f aca="false">IF(COUNTIF(Checklist!$H$12:$H$56,"Met")+COUNTIF(Checklist!$H$12:$H$56,"Partially met")+COUNTIF(Checklist!$H$12:$H$56,"Not met")=0,"-",COUNTIF(Checklist!$H$12:$H$56,"Met")/(COUNTIF(Checklist!$H$12:$H$56,"Met")+COUNTIF(Checklist!$H$12:$H$56,"Partially met")+COUNTIF(Checklist!$H$12:$H$56,"Not met")))</f>
        <v>-</v>
      </c>
      <c r="L13" s="30" t="str">
        <f aca="false">IFERROR(INDEX(Checklist!$A$12:$A$56,MATCH(6,Checklist!$M$12:$M$56,0)),"")</f>
        <v/>
      </c>
      <c r="M13" s="31" t="str">
        <f aca="false">IFERROR(INDEX(Checklist!$C$12:$C$56,MATCH(6,Checklist!$M$12:$M$56,0)),"")</f>
        <v/>
      </c>
      <c r="N13" s="30" t="str">
        <f aca="false">IFERROR(IF(INDEX(Checklist!$K$12:$K$56,MATCH(6,Checklist!$M$12:$M$56,0))="","(unassigned)",INDEX(Checklist!$K$12:$K$56,MATCH(6,Checklist!$M$12:$M$56,0))),"")</f>
        <v/>
      </c>
      <c r="O13" s="32" t="str">
        <f aca="false">IFERROR(IF(INDEX(Checklist!$L$12:$L$56,MATCH(6,Checklist!$M$12:$M$56,0))="","(none)",INDEX(Checklist!$L$12:$L$56,MATCH(6,Checklist!$M$12:$M$56,0))),"")</f>
        <v/>
      </c>
    </row>
    <row r="14" customFormat="false" ht="24" hidden="false" customHeight="true" outlineLevel="0" collapsed="false">
      <c r="A14" s="33" t="s">
        <v>254</v>
      </c>
      <c r="B14" s="36" t="str">
        <f aca="false">COUNTIFS(Checklist!$E$12:$E$56,"Essential",Checklist!$H$12:$H$56,"Met")&amp;" of "&amp;(COUNTIFS(Checklist!$E$12:$E$56,"Essential",Checklist!$C$12:$C$56,"?*")-COUNTIFS(Checklist!$E$12:$E$56,"Essential",Checklist!$H$12:$H$56,"Not applicable"))&amp;" applicable"</f>
        <v>0 of 25 applicable</v>
      </c>
      <c r="C14" s="36"/>
      <c r="D14" s="36"/>
      <c r="L14" s="30" t="str">
        <f aca="false">IFERROR(INDEX(Checklist!$A$12:$A$56,MATCH(7,Checklist!$M$12:$M$56,0)),"")</f>
        <v/>
      </c>
      <c r="M14" s="31" t="str">
        <f aca="false">IFERROR(INDEX(Checklist!$C$12:$C$56,MATCH(7,Checklist!$M$12:$M$56,0)),"")</f>
        <v/>
      </c>
      <c r="N14" s="30" t="str">
        <f aca="false">IFERROR(IF(INDEX(Checklist!$K$12:$K$56,MATCH(7,Checklist!$M$12:$M$56,0))="","(unassigned)",INDEX(Checklist!$K$12:$K$56,MATCH(7,Checklist!$M$12:$M$56,0))),"")</f>
        <v/>
      </c>
      <c r="O14" s="32" t="str">
        <f aca="false">IFERROR(IF(INDEX(Checklist!$L$12:$L$56,MATCH(7,Checklist!$M$12:$M$56,0))="","(none)",INDEX(Checklist!$L$12:$L$56,MATCH(7,Checklist!$M$12:$M$56,0))),"")</f>
        <v/>
      </c>
    </row>
    <row r="15" customFormat="false" ht="24" hidden="false" customHeight="true" outlineLevel="0" collapsed="false">
      <c r="A15" s="33" t="s">
        <v>255</v>
      </c>
      <c r="B15" s="34" t="n">
        <f aca="false">COUNTIF(Checklist!$I$12:$I$56,"Priority gap")</f>
        <v>0</v>
      </c>
      <c r="L15" s="30" t="str">
        <f aca="false">IFERROR(INDEX(Checklist!$A$12:$A$56,MATCH(8,Checklist!$M$12:$M$56,0)),"")</f>
        <v/>
      </c>
      <c r="M15" s="31" t="str">
        <f aca="false">IFERROR(INDEX(Checklist!$C$12:$C$56,MATCH(8,Checklist!$M$12:$M$56,0)),"")</f>
        <v/>
      </c>
      <c r="N15" s="30" t="str">
        <f aca="false">IFERROR(IF(INDEX(Checklist!$K$12:$K$56,MATCH(8,Checklist!$M$12:$M$56,0))="","(unassigned)",INDEX(Checklist!$K$12:$K$56,MATCH(8,Checklist!$M$12:$M$56,0))),"")</f>
        <v/>
      </c>
      <c r="O15" s="32" t="str">
        <f aca="false">IFERROR(IF(INDEX(Checklist!$L$12:$L$56,MATCH(8,Checklist!$M$12:$M$56,0))="","(none)",INDEX(Checklist!$L$12:$L$56,MATCH(8,Checklist!$M$12:$M$56,0))),"")</f>
        <v/>
      </c>
    </row>
    <row r="16" customFormat="false" ht="24" hidden="false" customHeight="true" outlineLevel="0" collapsed="false">
      <c r="A16" s="33" t="s">
        <v>256</v>
      </c>
      <c r="B16" s="34" t="n">
        <f aca="false">COUNTIF(Checklist!$I$12:$I$56,"Gap")</f>
        <v>0</v>
      </c>
      <c r="L16" s="30" t="str">
        <f aca="false">IFERROR(INDEX(Checklist!$A$12:$A$56,MATCH(9,Checklist!$M$12:$M$56,0)),"")</f>
        <v/>
      </c>
      <c r="M16" s="31" t="str">
        <f aca="false">IFERROR(INDEX(Checklist!$C$12:$C$56,MATCH(9,Checklist!$M$12:$M$56,0)),"")</f>
        <v/>
      </c>
      <c r="N16" s="30" t="str">
        <f aca="false">IFERROR(IF(INDEX(Checklist!$K$12:$K$56,MATCH(9,Checklist!$M$12:$M$56,0))="","(unassigned)",INDEX(Checklist!$K$12:$K$56,MATCH(9,Checklist!$M$12:$M$56,0))),"")</f>
        <v/>
      </c>
      <c r="O16" s="32" t="str">
        <f aca="false">IFERROR(IF(INDEX(Checklist!$L$12:$L$56,MATCH(9,Checklist!$M$12:$M$56,0))="","(none)",INDEX(Checklist!$L$12:$L$56,MATCH(9,Checklist!$M$12:$M$56,0))),"")</f>
        <v/>
      </c>
    </row>
    <row r="17" customFormat="false" ht="24" hidden="false" customHeight="true" outlineLevel="0" collapsed="false">
      <c r="A17" s="33" t="s">
        <v>257</v>
      </c>
      <c r="B17" s="34" t="n">
        <f aca="false">COUNTIF(Checklist!$I$12:$I$56,"OK - evidence not recorded")</f>
        <v>0</v>
      </c>
      <c r="L17" s="30" t="str">
        <f aca="false">IFERROR(INDEX(Checklist!$A$12:$A$56,MATCH(10,Checklist!$M$12:$M$56,0)),"")</f>
        <v/>
      </c>
      <c r="M17" s="31" t="str">
        <f aca="false">IFERROR(INDEX(Checklist!$C$12:$C$56,MATCH(10,Checklist!$M$12:$M$56,0)),"")</f>
        <v/>
      </c>
      <c r="N17" s="30" t="str">
        <f aca="false">IFERROR(IF(INDEX(Checklist!$K$12:$K$56,MATCH(10,Checklist!$M$12:$M$56,0))="","(unassigned)",INDEX(Checklist!$K$12:$K$56,MATCH(10,Checklist!$M$12:$M$56,0))),"")</f>
        <v/>
      </c>
      <c r="O17" s="32" t="str">
        <f aca="false">IFERROR(IF(INDEX(Checklist!$L$12:$L$56,MATCH(10,Checklist!$M$12:$M$56,0))="","(none)",INDEX(Checklist!$L$12:$L$56,MATCH(10,Checklist!$M$12:$M$56,0))),"")</f>
        <v/>
      </c>
    </row>
    <row r="18" customFormat="false" ht="24" hidden="false" customHeight="true" outlineLevel="0" collapsed="false">
      <c r="A18" s="37" t="str">
        <f aca="false">IF(B10=0,"",IF(B11&lt;B10,"Assessment incomplete: "&amp;(B10-B11)&amp;" control(s) not yet assessed. Figures are provisional.",IF(B15&gt;0,"Assessment complete. "&amp;B15&amp;" priority gap(s) need an owner and target date.","Assessment complete. No priority gaps recorded.")))</f>
        <v>Assessment incomplete: 41 control(s) not yet assessed. Figures are provisional.</v>
      </c>
      <c r="B18" s="37"/>
      <c r="C18" s="37"/>
      <c r="D18" s="37"/>
      <c r="E18" s="37"/>
      <c r="F18" s="37"/>
      <c r="G18" s="37"/>
      <c r="H18" s="37"/>
      <c r="I18" s="37"/>
      <c r="J18" s="37"/>
      <c r="L18" s="30" t="str">
        <f aca="false">IFERROR(INDEX(Checklist!$A$12:$A$56,MATCH(11,Checklist!$M$12:$M$56,0)),"")</f>
        <v/>
      </c>
      <c r="M18" s="31" t="str">
        <f aca="false">IFERROR(INDEX(Checklist!$C$12:$C$56,MATCH(11,Checklist!$M$12:$M$56,0)),"")</f>
        <v/>
      </c>
      <c r="N18" s="30" t="str">
        <f aca="false">IFERROR(IF(INDEX(Checklist!$K$12:$K$56,MATCH(11,Checklist!$M$12:$M$56,0))="","(unassigned)",INDEX(Checklist!$K$12:$K$56,MATCH(11,Checklist!$M$12:$M$56,0))),"")</f>
        <v/>
      </c>
      <c r="O18" s="32" t="str">
        <f aca="false">IFERROR(IF(INDEX(Checklist!$L$12:$L$56,MATCH(11,Checklist!$M$12:$M$56,0))="","(none)",INDEX(Checklist!$L$12:$L$56,MATCH(11,Checklist!$M$12:$M$56,0))),"")</f>
        <v/>
      </c>
    </row>
    <row r="19" customFormat="false" ht="24" hidden="false" customHeight="true" outlineLevel="0" collapsed="false">
      <c r="L19" s="30" t="str">
        <f aca="false">IFERROR(INDEX(Checklist!$A$12:$A$56,MATCH(12,Checklist!$M$12:$M$56,0)),"")</f>
        <v/>
      </c>
      <c r="M19" s="31" t="str">
        <f aca="false">IFERROR(INDEX(Checklist!$C$12:$C$56,MATCH(12,Checklist!$M$12:$M$56,0)),"")</f>
        <v/>
      </c>
      <c r="N19" s="30" t="str">
        <f aca="false">IFERROR(IF(INDEX(Checklist!$K$12:$K$56,MATCH(12,Checklist!$M$12:$M$56,0))="","(unassigned)",INDEX(Checklist!$K$12:$K$56,MATCH(12,Checklist!$M$12:$M$56,0))),"")</f>
        <v/>
      </c>
      <c r="O19" s="32" t="str">
        <f aca="false">IFERROR(IF(INDEX(Checklist!$L$12:$L$56,MATCH(12,Checklist!$M$12:$M$56,0))="","(none)",INDEX(Checklist!$L$12:$L$56,MATCH(12,Checklist!$M$12:$M$56,0))),"")</f>
        <v/>
      </c>
    </row>
    <row r="20" customFormat="false" ht="24" hidden="false" customHeight="true" outlineLevel="0" collapsed="false">
      <c r="A20" s="27" t="s">
        <v>258</v>
      </c>
      <c r="B20" s="8"/>
      <c r="C20" s="8"/>
      <c r="D20" s="8"/>
      <c r="E20" s="8"/>
      <c r="F20" s="8"/>
      <c r="G20" s="8"/>
      <c r="H20" s="8"/>
      <c r="I20" s="8"/>
      <c r="J20" s="8"/>
      <c r="L20" s="30" t="str">
        <f aca="false">IFERROR(INDEX(Checklist!$A$12:$A$56,MATCH(13,Checklist!$M$12:$M$56,0)),"")</f>
        <v/>
      </c>
      <c r="M20" s="31" t="str">
        <f aca="false">IFERROR(INDEX(Checklist!$C$12:$C$56,MATCH(13,Checklist!$M$12:$M$56,0)),"")</f>
        <v/>
      </c>
      <c r="N20" s="30" t="str">
        <f aca="false">IFERROR(IF(INDEX(Checklist!$K$12:$K$56,MATCH(13,Checklist!$M$12:$M$56,0))="","(unassigned)",INDEX(Checklist!$K$12:$K$56,MATCH(13,Checklist!$M$12:$M$56,0))),"")</f>
        <v/>
      </c>
      <c r="O20" s="32" t="str">
        <f aca="false">IFERROR(IF(INDEX(Checklist!$L$12:$L$56,MATCH(13,Checklist!$M$12:$M$56,0))="","(none)",INDEX(Checklist!$L$12:$L$56,MATCH(13,Checklist!$M$12:$M$56,0))),"")</f>
        <v/>
      </c>
    </row>
    <row r="21" customFormat="false" ht="24" hidden="false" customHeight="true" outlineLevel="0" collapsed="false">
      <c r="A21" s="16" t="s">
        <v>59</v>
      </c>
      <c r="B21" s="16" t="s">
        <v>259</v>
      </c>
      <c r="C21" s="16" t="s">
        <v>253</v>
      </c>
      <c r="D21" s="16" t="s">
        <v>19</v>
      </c>
      <c r="E21" s="16" t="s">
        <v>21</v>
      </c>
      <c r="F21" s="16" t="s">
        <v>23</v>
      </c>
      <c r="G21" s="16" t="s">
        <v>260</v>
      </c>
      <c r="H21" s="16" t="s">
        <v>261</v>
      </c>
      <c r="I21" s="16" t="s">
        <v>262</v>
      </c>
      <c r="J21" s="16" t="s">
        <v>255</v>
      </c>
      <c r="L21" s="30" t="str">
        <f aca="false">IFERROR(INDEX(Checklist!$A$12:$A$56,MATCH(14,Checklist!$M$12:$M$56,0)),"")</f>
        <v/>
      </c>
      <c r="M21" s="31" t="str">
        <f aca="false">IFERROR(INDEX(Checklist!$C$12:$C$56,MATCH(14,Checklist!$M$12:$M$56,0)),"")</f>
        <v/>
      </c>
      <c r="N21" s="30" t="str">
        <f aca="false">IFERROR(IF(INDEX(Checklist!$K$12:$K$56,MATCH(14,Checklist!$M$12:$M$56,0))="","(unassigned)",INDEX(Checklist!$K$12:$K$56,MATCH(14,Checklist!$M$12:$M$56,0))),"")</f>
        <v/>
      </c>
      <c r="O21" s="32" t="str">
        <f aca="false">IFERROR(IF(INDEX(Checklist!$L$12:$L$56,MATCH(14,Checklist!$M$12:$M$56,0))="","(none)",INDEX(Checklist!$L$12:$L$56,MATCH(14,Checklist!$M$12:$M$56,0))),"")</f>
        <v/>
      </c>
    </row>
    <row r="22" customFormat="false" ht="24" hidden="false" customHeight="true" outlineLevel="0" collapsed="false">
      <c r="A22" s="38" t="s">
        <v>67</v>
      </c>
      <c r="B22" s="39" t="n">
        <f aca="false">COUNTIFS(Checklist!$B$12:$B$56,$A22,Checklist!$C$12:$C$56,"?*")</f>
        <v>5</v>
      </c>
      <c r="C22" s="39" t="n">
        <f aca="false">COUNTIFS(Checklist!$B$12:$B$56,$A22,Checklist!$C$12:$C$56,"?*",Checklist!$H$12:$H$56,"?*")</f>
        <v>0</v>
      </c>
      <c r="D22" s="39" t="n">
        <f aca="false">COUNTIFS(Checklist!$B$12:$B$56,$A22,Checklist!$H$12:$H$56,"Met")</f>
        <v>0</v>
      </c>
      <c r="E22" s="39" t="n">
        <f aca="false">COUNTIFS(Checklist!$B$12:$B$56,$A22,Checklist!$H$12:$H$56,"Partially met")</f>
        <v>0</v>
      </c>
      <c r="F22" s="39" t="n">
        <f aca="false">COUNTIFS(Checklist!$B$12:$B$56,$A22,Checklist!$H$12:$H$56,"Not met")</f>
        <v>0</v>
      </c>
      <c r="G22" s="39" t="n">
        <f aca="false">COUNTIFS(Checklist!$B$12:$B$56,$A22,Checklist!$H$12:$H$56,"Not applicable")</f>
        <v>0</v>
      </c>
      <c r="H22" s="39" t="n">
        <f aca="false">B22-C22</f>
        <v>5</v>
      </c>
      <c r="I22" s="40" t="str">
        <f aca="false">IF(D22+E22+F22=0,"-",D22/(D22+E22+F22))</f>
        <v>-</v>
      </c>
      <c r="J22" s="39" t="n">
        <f aca="false">COUNTIFS(Checklist!$B$12:$B$56,$A22,Checklist!$I$12:$I$56,"Priority gap")</f>
        <v>0</v>
      </c>
      <c r="L22" s="30" t="str">
        <f aca="false">IFERROR(INDEX(Checklist!$A$12:$A$56,MATCH(15,Checklist!$M$12:$M$56,0)),"")</f>
        <v/>
      </c>
      <c r="M22" s="31" t="str">
        <f aca="false">IFERROR(INDEX(Checklist!$C$12:$C$56,MATCH(15,Checklist!$M$12:$M$56,0)),"")</f>
        <v/>
      </c>
      <c r="N22" s="30" t="str">
        <f aca="false">IFERROR(IF(INDEX(Checklist!$K$12:$K$56,MATCH(15,Checklist!$M$12:$M$56,0))="","(unassigned)",INDEX(Checklist!$K$12:$K$56,MATCH(15,Checklist!$M$12:$M$56,0))),"")</f>
        <v/>
      </c>
      <c r="O22" s="32" t="str">
        <f aca="false">IFERROR(IF(INDEX(Checklist!$L$12:$L$56,MATCH(15,Checklist!$M$12:$M$56,0))="","(none)",INDEX(Checklist!$L$12:$L$56,MATCH(15,Checklist!$M$12:$M$56,0))),"")</f>
        <v/>
      </c>
    </row>
    <row r="23" customFormat="false" ht="24" hidden="false" customHeight="true" outlineLevel="0" collapsed="false">
      <c r="A23" s="41" t="s">
        <v>92</v>
      </c>
      <c r="B23" s="42" t="n">
        <f aca="false">COUNTIFS(Checklist!$B$12:$B$56,$A23,Checklist!$C$12:$C$56,"?*")</f>
        <v>3</v>
      </c>
      <c r="C23" s="42" t="n">
        <f aca="false">COUNTIFS(Checklist!$B$12:$B$56,$A23,Checklist!$C$12:$C$56,"?*",Checklist!$H$12:$H$56,"?*")</f>
        <v>0</v>
      </c>
      <c r="D23" s="42" t="n">
        <f aca="false">COUNTIFS(Checklist!$B$12:$B$56,$A23,Checklist!$H$12:$H$56,"Met")</f>
        <v>0</v>
      </c>
      <c r="E23" s="42" t="n">
        <f aca="false">COUNTIFS(Checklist!$B$12:$B$56,$A23,Checklist!$H$12:$H$56,"Partially met")</f>
        <v>0</v>
      </c>
      <c r="F23" s="42" t="n">
        <f aca="false">COUNTIFS(Checklist!$B$12:$B$56,$A23,Checklist!$H$12:$H$56,"Not met")</f>
        <v>0</v>
      </c>
      <c r="G23" s="42" t="n">
        <f aca="false">COUNTIFS(Checklist!$B$12:$B$56,$A23,Checklist!$H$12:$H$56,"Not applicable")</f>
        <v>0</v>
      </c>
      <c r="H23" s="42" t="n">
        <f aca="false">B23-C23</f>
        <v>3</v>
      </c>
      <c r="I23" s="43" t="str">
        <f aca="false">IF(D23+E23+F23=0,"-",D23/(D23+E23+F23))</f>
        <v>-</v>
      </c>
      <c r="J23" s="42" t="n">
        <f aca="false">COUNTIFS(Checklist!$B$12:$B$56,$A23,Checklist!$I$12:$I$56,"Priority gap")</f>
        <v>0</v>
      </c>
      <c r="L23" s="30" t="str">
        <f aca="false">IFERROR(INDEX(Checklist!$A$12:$A$56,MATCH(16,Checklist!$M$12:$M$56,0)),"")</f>
        <v/>
      </c>
      <c r="M23" s="31" t="str">
        <f aca="false">IFERROR(INDEX(Checklist!$C$12:$C$56,MATCH(16,Checklist!$M$12:$M$56,0)),"")</f>
        <v/>
      </c>
      <c r="N23" s="30" t="str">
        <f aca="false">IFERROR(IF(INDEX(Checklist!$K$12:$K$56,MATCH(16,Checklist!$M$12:$M$56,0))="","(unassigned)",INDEX(Checklist!$K$12:$K$56,MATCH(16,Checklist!$M$12:$M$56,0))),"")</f>
        <v/>
      </c>
      <c r="O23" s="32" t="str">
        <f aca="false">IFERROR(IF(INDEX(Checklist!$L$12:$L$56,MATCH(16,Checklist!$M$12:$M$56,0))="","(none)",INDEX(Checklist!$L$12:$L$56,MATCH(16,Checklist!$M$12:$M$56,0))),"")</f>
        <v/>
      </c>
    </row>
    <row r="24" customFormat="false" ht="24" hidden="false" customHeight="true" outlineLevel="0" collapsed="false">
      <c r="A24" s="38" t="s">
        <v>107</v>
      </c>
      <c r="B24" s="39" t="n">
        <f aca="false">COUNTIFS(Checklist!$B$12:$B$56,$A24,Checklist!$C$12:$C$56,"?*")</f>
        <v>4</v>
      </c>
      <c r="C24" s="39" t="n">
        <f aca="false">COUNTIFS(Checklist!$B$12:$B$56,$A24,Checklist!$C$12:$C$56,"?*",Checklist!$H$12:$H$56,"?*")</f>
        <v>0</v>
      </c>
      <c r="D24" s="39" t="n">
        <f aca="false">COUNTIFS(Checklist!$B$12:$B$56,$A24,Checklist!$H$12:$H$56,"Met")</f>
        <v>0</v>
      </c>
      <c r="E24" s="39" t="n">
        <f aca="false">COUNTIFS(Checklist!$B$12:$B$56,$A24,Checklist!$H$12:$H$56,"Partially met")</f>
        <v>0</v>
      </c>
      <c r="F24" s="39" t="n">
        <f aca="false">COUNTIFS(Checklist!$B$12:$B$56,$A24,Checklist!$H$12:$H$56,"Not met")</f>
        <v>0</v>
      </c>
      <c r="G24" s="39" t="n">
        <f aca="false">COUNTIFS(Checklist!$B$12:$B$56,$A24,Checklist!$H$12:$H$56,"Not applicable")</f>
        <v>0</v>
      </c>
      <c r="H24" s="39" t="n">
        <f aca="false">B24-C24</f>
        <v>4</v>
      </c>
      <c r="I24" s="40" t="str">
        <f aca="false">IF(D24+E24+F24=0,"-",D24/(D24+E24+F24))</f>
        <v>-</v>
      </c>
      <c r="J24" s="39" t="n">
        <f aca="false">COUNTIFS(Checklist!$B$12:$B$56,$A24,Checklist!$I$12:$I$56,"Priority gap")</f>
        <v>0</v>
      </c>
      <c r="L24" s="30" t="str">
        <f aca="false">IFERROR(INDEX(Checklist!$A$12:$A$56,MATCH(17,Checklist!$M$12:$M$56,0)),"")</f>
        <v/>
      </c>
      <c r="M24" s="31" t="str">
        <f aca="false">IFERROR(INDEX(Checklist!$C$12:$C$56,MATCH(17,Checklist!$M$12:$M$56,0)),"")</f>
        <v/>
      </c>
      <c r="N24" s="30" t="str">
        <f aca="false">IFERROR(IF(INDEX(Checklist!$K$12:$K$56,MATCH(17,Checklist!$M$12:$M$56,0))="","(unassigned)",INDEX(Checklist!$K$12:$K$56,MATCH(17,Checklist!$M$12:$M$56,0))),"")</f>
        <v/>
      </c>
      <c r="O24" s="32" t="str">
        <f aca="false">IFERROR(IF(INDEX(Checklist!$L$12:$L$56,MATCH(17,Checklist!$M$12:$M$56,0))="","(none)",INDEX(Checklist!$L$12:$L$56,MATCH(17,Checklist!$M$12:$M$56,0))),"")</f>
        <v/>
      </c>
    </row>
    <row r="25" customFormat="false" ht="24" hidden="false" customHeight="true" outlineLevel="0" collapsed="false">
      <c r="A25" s="41" t="s">
        <v>126</v>
      </c>
      <c r="B25" s="42" t="n">
        <f aca="false">COUNTIFS(Checklist!$B$12:$B$56,$A25,Checklist!$C$12:$C$56,"?*")</f>
        <v>6</v>
      </c>
      <c r="C25" s="42" t="n">
        <f aca="false">COUNTIFS(Checklist!$B$12:$B$56,$A25,Checklist!$C$12:$C$56,"?*",Checklist!$H$12:$H$56,"?*")</f>
        <v>0</v>
      </c>
      <c r="D25" s="42" t="n">
        <f aca="false">COUNTIFS(Checklist!$B$12:$B$56,$A25,Checklist!$H$12:$H$56,"Met")</f>
        <v>0</v>
      </c>
      <c r="E25" s="42" t="n">
        <f aca="false">COUNTIFS(Checklist!$B$12:$B$56,$A25,Checklist!$H$12:$H$56,"Partially met")</f>
        <v>0</v>
      </c>
      <c r="F25" s="42" t="n">
        <f aca="false">COUNTIFS(Checklist!$B$12:$B$56,$A25,Checklist!$H$12:$H$56,"Not met")</f>
        <v>0</v>
      </c>
      <c r="G25" s="42" t="n">
        <f aca="false">COUNTIFS(Checklist!$B$12:$B$56,$A25,Checklist!$H$12:$H$56,"Not applicable")</f>
        <v>0</v>
      </c>
      <c r="H25" s="42" t="n">
        <f aca="false">B25-C25</f>
        <v>6</v>
      </c>
      <c r="I25" s="43" t="str">
        <f aca="false">IF(D25+E25+F25=0,"-",D25/(D25+E25+F25))</f>
        <v>-</v>
      </c>
      <c r="J25" s="42" t="n">
        <f aca="false">COUNTIFS(Checklist!$B$12:$B$56,$A25,Checklist!$I$12:$I$56,"Priority gap")</f>
        <v>0</v>
      </c>
      <c r="L25" s="30" t="str">
        <f aca="false">IFERROR(INDEX(Checklist!$A$12:$A$56,MATCH(18,Checklist!$M$12:$M$56,0)),"")</f>
        <v/>
      </c>
      <c r="M25" s="31" t="str">
        <f aca="false">IFERROR(INDEX(Checklist!$C$12:$C$56,MATCH(18,Checklist!$M$12:$M$56,0)),"")</f>
        <v/>
      </c>
      <c r="N25" s="30" t="str">
        <f aca="false">IFERROR(IF(INDEX(Checklist!$K$12:$K$56,MATCH(18,Checklist!$M$12:$M$56,0))="","(unassigned)",INDEX(Checklist!$K$12:$K$56,MATCH(18,Checklist!$M$12:$M$56,0))),"")</f>
        <v/>
      </c>
      <c r="O25" s="32" t="str">
        <f aca="false">IFERROR(IF(INDEX(Checklist!$L$12:$L$56,MATCH(18,Checklist!$M$12:$M$56,0))="","(none)",INDEX(Checklist!$L$12:$L$56,MATCH(18,Checklist!$M$12:$M$56,0))),"")</f>
        <v/>
      </c>
    </row>
    <row r="26" customFormat="false" ht="24" hidden="false" customHeight="true" outlineLevel="0" collapsed="false">
      <c r="A26" s="38" t="s">
        <v>150</v>
      </c>
      <c r="B26" s="39" t="n">
        <f aca="false">COUNTIFS(Checklist!$B$12:$B$56,$A26,Checklist!$C$12:$C$56,"?*")</f>
        <v>4</v>
      </c>
      <c r="C26" s="39" t="n">
        <f aca="false">COUNTIFS(Checklist!$B$12:$B$56,$A26,Checklist!$C$12:$C$56,"?*",Checklist!$H$12:$H$56,"?*")</f>
        <v>0</v>
      </c>
      <c r="D26" s="39" t="n">
        <f aca="false">COUNTIFS(Checklist!$B$12:$B$56,$A26,Checklist!$H$12:$H$56,"Met")</f>
        <v>0</v>
      </c>
      <c r="E26" s="39" t="n">
        <f aca="false">COUNTIFS(Checklist!$B$12:$B$56,$A26,Checklist!$H$12:$H$56,"Partially met")</f>
        <v>0</v>
      </c>
      <c r="F26" s="39" t="n">
        <f aca="false">COUNTIFS(Checklist!$B$12:$B$56,$A26,Checklist!$H$12:$H$56,"Not met")</f>
        <v>0</v>
      </c>
      <c r="G26" s="39" t="n">
        <f aca="false">COUNTIFS(Checklist!$B$12:$B$56,$A26,Checklist!$H$12:$H$56,"Not applicable")</f>
        <v>0</v>
      </c>
      <c r="H26" s="39" t="n">
        <f aca="false">B26-C26</f>
        <v>4</v>
      </c>
      <c r="I26" s="40" t="str">
        <f aca="false">IF(D26+E26+F26=0,"-",D26/(D26+E26+F26))</f>
        <v>-</v>
      </c>
      <c r="J26" s="39" t="n">
        <f aca="false">COUNTIFS(Checklist!$B$12:$B$56,$A26,Checklist!$I$12:$I$56,"Priority gap")</f>
        <v>0</v>
      </c>
      <c r="L26" s="30" t="str">
        <f aca="false">IFERROR(INDEX(Checklist!$A$12:$A$56,MATCH(19,Checklist!$M$12:$M$56,0)),"")</f>
        <v/>
      </c>
      <c r="M26" s="31" t="str">
        <f aca="false">IFERROR(INDEX(Checklist!$C$12:$C$56,MATCH(19,Checklist!$M$12:$M$56,0)),"")</f>
        <v/>
      </c>
      <c r="N26" s="30" t="str">
        <f aca="false">IFERROR(IF(INDEX(Checklist!$K$12:$K$56,MATCH(19,Checklist!$M$12:$M$56,0))="","(unassigned)",INDEX(Checklist!$K$12:$K$56,MATCH(19,Checklist!$M$12:$M$56,0))),"")</f>
        <v/>
      </c>
      <c r="O26" s="32" t="str">
        <f aca="false">IFERROR(IF(INDEX(Checklist!$L$12:$L$56,MATCH(19,Checklist!$M$12:$M$56,0))="","(none)",INDEX(Checklist!$L$12:$L$56,MATCH(19,Checklist!$M$12:$M$56,0))),"")</f>
        <v/>
      </c>
    </row>
    <row r="27" customFormat="false" ht="24" hidden="false" customHeight="true" outlineLevel="0" collapsed="false">
      <c r="A27" s="41" t="s">
        <v>171</v>
      </c>
      <c r="B27" s="42" t="n">
        <f aca="false">COUNTIFS(Checklist!$B$12:$B$56,$A27,Checklist!$C$12:$C$56,"?*")</f>
        <v>4</v>
      </c>
      <c r="C27" s="42" t="n">
        <f aca="false">COUNTIFS(Checklist!$B$12:$B$56,$A27,Checklist!$C$12:$C$56,"?*",Checklist!$H$12:$H$56,"?*")</f>
        <v>0</v>
      </c>
      <c r="D27" s="42" t="n">
        <f aca="false">COUNTIFS(Checklist!$B$12:$B$56,$A27,Checklist!$H$12:$H$56,"Met")</f>
        <v>0</v>
      </c>
      <c r="E27" s="42" t="n">
        <f aca="false">COUNTIFS(Checklist!$B$12:$B$56,$A27,Checklist!$H$12:$H$56,"Partially met")</f>
        <v>0</v>
      </c>
      <c r="F27" s="42" t="n">
        <f aca="false">COUNTIFS(Checklist!$B$12:$B$56,$A27,Checklist!$H$12:$H$56,"Not met")</f>
        <v>0</v>
      </c>
      <c r="G27" s="42" t="n">
        <f aca="false">COUNTIFS(Checklist!$B$12:$B$56,$A27,Checklist!$H$12:$H$56,"Not applicable")</f>
        <v>0</v>
      </c>
      <c r="H27" s="42" t="n">
        <f aca="false">B27-C27</f>
        <v>4</v>
      </c>
      <c r="I27" s="43" t="str">
        <f aca="false">IF(D27+E27+F27=0,"-",D27/(D27+E27+F27))</f>
        <v>-</v>
      </c>
      <c r="J27" s="42" t="n">
        <f aca="false">COUNTIFS(Checklist!$B$12:$B$56,$A27,Checklist!$I$12:$I$56,"Priority gap")</f>
        <v>0</v>
      </c>
      <c r="L27" s="30" t="str">
        <f aca="false">IFERROR(INDEX(Checklist!$A$12:$A$56,MATCH(20,Checklist!$M$12:$M$56,0)),"")</f>
        <v/>
      </c>
      <c r="M27" s="31" t="str">
        <f aca="false">IFERROR(INDEX(Checklist!$C$12:$C$56,MATCH(20,Checklist!$M$12:$M$56,0)),"")</f>
        <v/>
      </c>
      <c r="N27" s="30" t="str">
        <f aca="false">IFERROR(IF(INDEX(Checklist!$K$12:$K$56,MATCH(20,Checklist!$M$12:$M$56,0))="","(unassigned)",INDEX(Checklist!$K$12:$K$56,MATCH(20,Checklist!$M$12:$M$56,0))),"")</f>
        <v/>
      </c>
      <c r="O27" s="32" t="str">
        <f aca="false">IFERROR(IF(INDEX(Checklist!$L$12:$L$56,MATCH(20,Checklist!$M$12:$M$56,0))="","(none)",INDEX(Checklist!$L$12:$L$56,MATCH(20,Checklist!$M$12:$M$56,0))),"")</f>
        <v/>
      </c>
    </row>
    <row r="28" customFormat="false" ht="24" hidden="false" customHeight="true" outlineLevel="0" collapsed="false">
      <c r="A28" s="38" t="s">
        <v>187</v>
      </c>
      <c r="B28" s="39" t="n">
        <f aca="false">COUNTIFS(Checklist!$B$12:$B$56,$A28,Checklist!$C$12:$C$56,"?*")</f>
        <v>4</v>
      </c>
      <c r="C28" s="39" t="n">
        <f aca="false">COUNTIFS(Checklist!$B$12:$B$56,$A28,Checklist!$C$12:$C$56,"?*",Checklist!$H$12:$H$56,"?*")</f>
        <v>0</v>
      </c>
      <c r="D28" s="39" t="n">
        <f aca="false">COUNTIFS(Checklist!$B$12:$B$56,$A28,Checklist!$H$12:$H$56,"Met")</f>
        <v>0</v>
      </c>
      <c r="E28" s="39" t="n">
        <f aca="false">COUNTIFS(Checklist!$B$12:$B$56,$A28,Checklist!$H$12:$H$56,"Partially met")</f>
        <v>0</v>
      </c>
      <c r="F28" s="39" t="n">
        <f aca="false">COUNTIFS(Checklist!$B$12:$B$56,$A28,Checklist!$H$12:$H$56,"Not met")</f>
        <v>0</v>
      </c>
      <c r="G28" s="39" t="n">
        <f aca="false">COUNTIFS(Checklist!$B$12:$B$56,$A28,Checklist!$H$12:$H$56,"Not applicable")</f>
        <v>0</v>
      </c>
      <c r="H28" s="39" t="n">
        <f aca="false">B28-C28</f>
        <v>4</v>
      </c>
      <c r="I28" s="40" t="str">
        <f aca="false">IF(D28+E28+F28=0,"-",D28/(D28+E28+F28))</f>
        <v>-</v>
      </c>
      <c r="J28" s="39" t="n">
        <f aca="false">COUNTIFS(Checklist!$B$12:$B$56,$A28,Checklist!$I$12:$I$56,"Priority gap")</f>
        <v>0</v>
      </c>
      <c r="L28" s="30" t="str">
        <f aca="false">IFERROR(INDEX(Checklist!$A$12:$A$56,MATCH(21,Checklist!$M$12:$M$56,0)),"")</f>
        <v/>
      </c>
      <c r="M28" s="31" t="str">
        <f aca="false">IFERROR(INDEX(Checklist!$C$12:$C$56,MATCH(21,Checklist!$M$12:$M$56,0)),"")</f>
        <v/>
      </c>
      <c r="N28" s="30" t="str">
        <f aca="false">IFERROR(IF(INDEX(Checklist!$K$12:$K$56,MATCH(21,Checklist!$M$12:$M$56,0))="","(unassigned)",INDEX(Checklist!$K$12:$K$56,MATCH(21,Checklist!$M$12:$M$56,0))),"")</f>
        <v/>
      </c>
      <c r="O28" s="32" t="str">
        <f aca="false">IFERROR(IF(INDEX(Checklist!$L$12:$L$56,MATCH(21,Checklist!$M$12:$M$56,0))="","(none)",INDEX(Checklist!$L$12:$L$56,MATCH(21,Checklist!$M$12:$M$56,0))),"")</f>
        <v/>
      </c>
    </row>
    <row r="29" customFormat="false" ht="24" hidden="false" customHeight="true" outlineLevel="0" collapsed="false">
      <c r="A29" s="41" t="s">
        <v>202</v>
      </c>
      <c r="B29" s="42" t="n">
        <f aca="false">COUNTIFS(Checklist!$B$12:$B$56,$A29,Checklist!$C$12:$C$56,"?*")</f>
        <v>3</v>
      </c>
      <c r="C29" s="42" t="n">
        <f aca="false">COUNTIFS(Checklist!$B$12:$B$56,$A29,Checklist!$C$12:$C$56,"?*",Checklist!$H$12:$H$56,"?*")</f>
        <v>0</v>
      </c>
      <c r="D29" s="42" t="n">
        <f aca="false">COUNTIFS(Checklist!$B$12:$B$56,$A29,Checklist!$H$12:$H$56,"Met")</f>
        <v>0</v>
      </c>
      <c r="E29" s="42" t="n">
        <f aca="false">COUNTIFS(Checklist!$B$12:$B$56,$A29,Checklist!$H$12:$H$56,"Partially met")</f>
        <v>0</v>
      </c>
      <c r="F29" s="42" t="n">
        <f aca="false">COUNTIFS(Checklist!$B$12:$B$56,$A29,Checklist!$H$12:$H$56,"Not met")</f>
        <v>0</v>
      </c>
      <c r="G29" s="42" t="n">
        <f aca="false">COUNTIFS(Checklist!$B$12:$B$56,$A29,Checklist!$H$12:$H$56,"Not applicable")</f>
        <v>0</v>
      </c>
      <c r="H29" s="42" t="n">
        <f aca="false">B29-C29</f>
        <v>3</v>
      </c>
      <c r="I29" s="43" t="str">
        <f aca="false">IF(D29+E29+F29=0,"-",D29/(D29+E29+F29))</f>
        <v>-</v>
      </c>
      <c r="J29" s="42" t="n">
        <f aca="false">COUNTIFS(Checklist!$B$12:$B$56,$A29,Checklist!$I$12:$I$56,"Priority gap")</f>
        <v>0</v>
      </c>
      <c r="L29" s="30" t="str">
        <f aca="false">IFERROR(INDEX(Checklist!$A$12:$A$56,MATCH(22,Checklist!$M$12:$M$56,0)),"")</f>
        <v/>
      </c>
      <c r="M29" s="31" t="str">
        <f aca="false">IFERROR(INDEX(Checklist!$C$12:$C$56,MATCH(22,Checklist!$M$12:$M$56,0)),"")</f>
        <v/>
      </c>
      <c r="N29" s="30" t="str">
        <f aca="false">IFERROR(IF(INDEX(Checklist!$K$12:$K$56,MATCH(22,Checklist!$M$12:$M$56,0))="","(unassigned)",INDEX(Checklist!$K$12:$K$56,MATCH(22,Checklist!$M$12:$M$56,0))),"")</f>
        <v/>
      </c>
      <c r="O29" s="32" t="str">
        <f aca="false">IFERROR(IF(INDEX(Checklist!$L$12:$L$56,MATCH(22,Checklist!$M$12:$M$56,0))="","(none)",INDEX(Checklist!$L$12:$L$56,MATCH(22,Checklist!$M$12:$M$56,0))),"")</f>
        <v/>
      </c>
    </row>
    <row r="30" customFormat="false" ht="24" hidden="false" customHeight="true" outlineLevel="0" collapsed="false">
      <c r="A30" s="38" t="s">
        <v>213</v>
      </c>
      <c r="B30" s="39" t="n">
        <f aca="false">COUNTIFS(Checklist!$B$12:$B$56,$A30,Checklist!$C$12:$C$56,"?*")</f>
        <v>3</v>
      </c>
      <c r="C30" s="39" t="n">
        <f aca="false">COUNTIFS(Checklist!$B$12:$B$56,$A30,Checklist!$C$12:$C$56,"?*",Checklist!$H$12:$H$56,"?*")</f>
        <v>0</v>
      </c>
      <c r="D30" s="39" t="n">
        <f aca="false">COUNTIFS(Checklist!$B$12:$B$56,$A30,Checklist!$H$12:$H$56,"Met")</f>
        <v>0</v>
      </c>
      <c r="E30" s="39" t="n">
        <f aca="false">COUNTIFS(Checklist!$B$12:$B$56,$A30,Checklist!$H$12:$H$56,"Partially met")</f>
        <v>0</v>
      </c>
      <c r="F30" s="39" t="n">
        <f aca="false">COUNTIFS(Checklist!$B$12:$B$56,$A30,Checklist!$H$12:$H$56,"Not met")</f>
        <v>0</v>
      </c>
      <c r="G30" s="39" t="n">
        <f aca="false">COUNTIFS(Checklist!$B$12:$B$56,$A30,Checklist!$H$12:$H$56,"Not applicable")</f>
        <v>0</v>
      </c>
      <c r="H30" s="39" t="n">
        <f aca="false">B30-C30</f>
        <v>3</v>
      </c>
      <c r="I30" s="40" t="str">
        <f aca="false">IF(D30+E30+F30=0,"-",D30/(D30+E30+F30))</f>
        <v>-</v>
      </c>
      <c r="J30" s="39" t="n">
        <f aca="false">COUNTIFS(Checklist!$B$12:$B$56,$A30,Checklist!$I$12:$I$56,"Priority gap")</f>
        <v>0</v>
      </c>
      <c r="L30" s="30" t="str">
        <f aca="false">IFERROR(INDEX(Checklist!$A$12:$A$56,MATCH(23,Checklist!$M$12:$M$56,0)),"")</f>
        <v/>
      </c>
      <c r="M30" s="31" t="str">
        <f aca="false">IFERROR(INDEX(Checklist!$C$12:$C$56,MATCH(23,Checklist!$M$12:$M$56,0)),"")</f>
        <v/>
      </c>
      <c r="N30" s="30" t="str">
        <f aca="false">IFERROR(IF(INDEX(Checklist!$K$12:$K$56,MATCH(23,Checklist!$M$12:$M$56,0))="","(unassigned)",INDEX(Checklist!$K$12:$K$56,MATCH(23,Checklist!$M$12:$M$56,0))),"")</f>
        <v/>
      </c>
      <c r="O30" s="32" t="str">
        <f aca="false">IFERROR(IF(INDEX(Checklist!$L$12:$L$56,MATCH(23,Checklist!$M$12:$M$56,0))="","(none)",INDEX(Checklist!$L$12:$L$56,MATCH(23,Checklist!$M$12:$M$56,0))),"")</f>
        <v/>
      </c>
    </row>
    <row r="31" customFormat="false" ht="24" hidden="false" customHeight="true" outlineLevel="0" collapsed="false">
      <c r="A31" s="41" t="s">
        <v>227</v>
      </c>
      <c r="B31" s="42" t="n">
        <f aca="false">COUNTIFS(Checklist!$B$12:$B$56,$A31,Checklist!$C$12:$C$56,"?*")</f>
        <v>5</v>
      </c>
      <c r="C31" s="42" t="n">
        <f aca="false">COUNTIFS(Checklist!$B$12:$B$56,$A31,Checklist!$C$12:$C$56,"?*",Checklist!$H$12:$H$56,"?*")</f>
        <v>0</v>
      </c>
      <c r="D31" s="42" t="n">
        <f aca="false">COUNTIFS(Checklist!$B$12:$B$56,$A31,Checklist!$H$12:$H$56,"Met")</f>
        <v>0</v>
      </c>
      <c r="E31" s="42" t="n">
        <f aca="false">COUNTIFS(Checklist!$B$12:$B$56,$A31,Checklist!$H$12:$H$56,"Partially met")</f>
        <v>0</v>
      </c>
      <c r="F31" s="42" t="n">
        <f aca="false">COUNTIFS(Checklist!$B$12:$B$56,$A31,Checklist!$H$12:$H$56,"Not met")</f>
        <v>0</v>
      </c>
      <c r="G31" s="42" t="n">
        <f aca="false">COUNTIFS(Checklist!$B$12:$B$56,$A31,Checklist!$H$12:$H$56,"Not applicable")</f>
        <v>0</v>
      </c>
      <c r="H31" s="42" t="n">
        <f aca="false">B31-C31</f>
        <v>5</v>
      </c>
      <c r="I31" s="43" t="str">
        <f aca="false">IF(D31+E31+F31=0,"-",D31/(D31+E31+F31))</f>
        <v>-</v>
      </c>
      <c r="J31" s="42" t="n">
        <f aca="false">COUNTIFS(Checklist!$B$12:$B$56,$A31,Checklist!$I$12:$I$56,"Priority gap")</f>
        <v>0</v>
      </c>
      <c r="L31" s="30" t="str">
        <f aca="false">IFERROR(INDEX(Checklist!$A$12:$A$56,MATCH(24,Checklist!$M$12:$M$56,0)),"")</f>
        <v/>
      </c>
      <c r="M31" s="31" t="str">
        <f aca="false">IFERROR(INDEX(Checklist!$C$12:$C$56,MATCH(24,Checklist!$M$12:$M$56,0)),"")</f>
        <v/>
      </c>
      <c r="N31" s="30" t="str">
        <f aca="false">IFERROR(IF(INDEX(Checklist!$K$12:$K$56,MATCH(24,Checklist!$M$12:$M$56,0))="","(unassigned)",INDEX(Checklist!$K$12:$K$56,MATCH(24,Checklist!$M$12:$M$56,0))),"")</f>
        <v/>
      </c>
      <c r="O31" s="32" t="str">
        <f aca="false">IFERROR(IF(INDEX(Checklist!$L$12:$L$56,MATCH(24,Checklist!$M$12:$M$56,0))="","(none)",INDEX(Checklist!$L$12:$L$56,MATCH(24,Checklist!$M$12:$M$56,0))),"")</f>
        <v/>
      </c>
    </row>
    <row r="32" customFormat="false" ht="24" hidden="false" customHeight="true" outlineLevel="0" collapsed="false">
      <c r="A32" s="38" t="s">
        <v>247</v>
      </c>
      <c r="B32" s="39" t="n">
        <f aca="false">COUNTIFS(Checklist!$B$12:$B$56,$A32,Checklist!$C$12:$C$56,"?*")</f>
        <v>0</v>
      </c>
      <c r="C32" s="39" t="n">
        <f aca="false">COUNTIFS(Checklist!$B$12:$B$56,$A32,Checklist!$C$12:$C$56,"?*",Checklist!$H$12:$H$56,"?*")</f>
        <v>0</v>
      </c>
      <c r="D32" s="39" t="n">
        <f aca="false">COUNTIFS(Checklist!$B$12:$B$56,$A32,Checklist!$H$12:$H$56,"Met")</f>
        <v>0</v>
      </c>
      <c r="E32" s="39" t="n">
        <f aca="false">COUNTIFS(Checklist!$B$12:$B$56,$A32,Checklist!$H$12:$H$56,"Partially met")</f>
        <v>0</v>
      </c>
      <c r="F32" s="39" t="n">
        <f aca="false">COUNTIFS(Checklist!$B$12:$B$56,$A32,Checklist!$H$12:$H$56,"Not met")</f>
        <v>0</v>
      </c>
      <c r="G32" s="39" t="n">
        <f aca="false">COUNTIFS(Checklist!$B$12:$B$56,$A32,Checklist!$H$12:$H$56,"Not applicable")</f>
        <v>0</v>
      </c>
      <c r="H32" s="39" t="n">
        <f aca="false">B32-C32</f>
        <v>0</v>
      </c>
      <c r="I32" s="40" t="str">
        <f aca="false">IF(D32+E32+F32=0,"-",D32/(D32+E32+F32))</f>
        <v>-</v>
      </c>
      <c r="J32" s="39" t="n">
        <f aca="false">COUNTIFS(Checklist!$B$12:$B$56,$A32,Checklist!$I$12:$I$56,"Priority gap")</f>
        <v>0</v>
      </c>
      <c r="L32" s="30" t="str">
        <f aca="false">IFERROR(INDEX(Checklist!$A$12:$A$56,MATCH(25,Checklist!$M$12:$M$56,0)),"")</f>
        <v/>
      </c>
      <c r="M32" s="31" t="str">
        <f aca="false">IFERROR(INDEX(Checklist!$C$12:$C$56,MATCH(25,Checklist!$M$12:$M$56,0)),"")</f>
        <v/>
      </c>
      <c r="N32" s="30" t="str">
        <f aca="false">IFERROR(IF(INDEX(Checklist!$K$12:$K$56,MATCH(25,Checklist!$M$12:$M$56,0))="","(unassigned)",INDEX(Checklist!$K$12:$K$56,MATCH(25,Checklist!$M$12:$M$56,0))),"")</f>
        <v/>
      </c>
      <c r="O32" s="32" t="str">
        <f aca="false">IFERROR(IF(INDEX(Checklist!$L$12:$L$56,MATCH(25,Checklist!$M$12:$M$56,0))="","(none)",INDEX(Checklist!$L$12:$L$56,MATCH(25,Checklist!$M$12:$M$56,0))),"")</f>
        <v/>
      </c>
    </row>
    <row r="33" customFormat="false" ht="15" hidden="false" customHeight="false" outlineLevel="0" collapsed="false">
      <c r="A33" s="44" t="s">
        <v>263</v>
      </c>
      <c r="B33" s="45" t="n">
        <f aca="false">SUM(B22:B32)</f>
        <v>41</v>
      </c>
      <c r="C33" s="45" t="n">
        <f aca="false">SUM(C22:C32)</f>
        <v>0</v>
      </c>
      <c r="D33" s="45" t="n">
        <f aca="false">SUM(D22:D32)</f>
        <v>0</v>
      </c>
      <c r="E33" s="45" t="n">
        <f aca="false">SUM(E22:E32)</f>
        <v>0</v>
      </c>
      <c r="F33" s="45" t="n">
        <f aca="false">SUM(F22:F32)</f>
        <v>0</v>
      </c>
      <c r="G33" s="45" t="n">
        <f aca="false">SUM(G22:G32)</f>
        <v>0</v>
      </c>
      <c r="H33" s="45" t="n">
        <f aca="false">SUM(H22:H32)</f>
        <v>41</v>
      </c>
      <c r="I33" s="46" t="str">
        <f aca="false">IF(D33+E33+F33=0,"-",D33/(D33+E33+F33))</f>
        <v>-</v>
      </c>
      <c r="J33" s="45" t="n">
        <f aca="false">SUM(J22:J32)</f>
        <v>0</v>
      </c>
      <c r="L33" s="47" t="str">
        <f aca="false">IF(B15&gt;25,"Showing the first 25 of "&amp;B15&amp;" priority gaps - filter the Checklist on Result = Priority gap to see all.","")</f>
        <v/>
      </c>
    </row>
    <row r="34" customFormat="false" ht="9.75" hidden="false" customHeight="true" outlineLevel="0" collapsed="false"/>
  </sheetData>
  <sheetProtection sheet="true" formatColumns="false" formatRows="false" sort="false" autoFilter="false"/>
  <mergeCells count="4">
    <mergeCell ref="B6:F6"/>
    <mergeCell ref="B7:F7"/>
    <mergeCell ref="B14:D14"/>
    <mergeCell ref="A18:J18"/>
  </mergeCells>
  <conditionalFormatting sqref="J22:J33">
    <cfRule type="cellIs" priority="2" operator="greaterThan" aboveAverage="0" equalAverage="0" bottom="0" percent="0" rank="0" text="" dxfId="11">
      <formula>0</formula>
    </cfRule>
  </conditionalFormatting>
  <printOptions headings="false" gridLines="false" gridLinesSet="true" horizontalCentered="false" verticalCentered="false"/>
  <pageMargins left="0.4" right="0.4" top="0.5" bottom="0.7"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&amp;L&amp;"Arial,Regular"&amp;7 This resource is provided under the dataintelligenceinsights.com Standard Use Licence v1.0. © dataintelligenceinsights.com. All rights reserved.&amp;R&amp;"Arial,Regular"&amp;7 Page &amp;P of &amp;N</oddFooter>
  </headerFooter>
  <drawing r:id="rId1"/>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2026-10-01T11:19:52Z</dcterms:created>
  <dc:creator>dataintelligenceinsights.com</dc:creator>
  <dc:description>dataintelligenceinsights.com resource</dc:description>
  <cp:keywords>access control data governance checklist</cp:keywords>
  <dc:language>en-US</dc:language>
  <cp:lastModifiedBy>dataintelligenceinsights.com</cp:lastModifiedBy>
  <dcterms:modified xsi:type="dcterms:W3CDTF">2026-10-01T12:19:54Z</dcterms:modified>
  <cp:revision>1</cp:revision>
  <dc:subject>Access policy controls checklist for data governance and security practitioners</dc:subject>
  <dc:title>Access Policy Checklist v1.0</dc:title>
</cp:coreProperties>
</file>

<file path=docProps/custom.xml><?xml version="1.0" encoding="utf-8"?>
<Properties xmlns="http://schemas.openxmlformats.org/officeDocument/2006/custom-properties" xmlns:vt="http://schemas.openxmlformats.org/officeDocument/2006/docPropsVTypes"/>
</file>