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Checklist" sheetId="2" state="visible" r:id="rId4"/>
    <sheet name="Summary" sheetId="3" state="visible" r:id="rId5"/>
    <sheet name="Lists" sheetId="4" state="visible" r:id="rId6"/>
  </sheets>
  <definedNames>
    <definedName function="false" hidden="false" localSheetId="1" name="_xlnm.Print_Titles" vbProcedure="false">Checklist!$8:$8</definedName>
    <definedName function="false" hidden="true" localSheetId="1" name="_xlnm._FilterDatabase" vbProcedure="false">Checklist!$A$8:$J$51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<sst xmlns="http://schemas.openxmlformats.org/spreadsheetml/2006/main" count="320" uniqueCount="210">
  <si>
    <t xml:space="preserve">Migration Checklist</t>
  </si>
  <si>
    <t xml:space="preserve">Version 1.0  ·  FREE resource  ·  Published by dataintelligenceinsights.com</t>
  </si>
  <si>
    <t xml:space="preserve">WHAT IT IS</t>
  </si>
  <si>
    <t xml:space="preserve">An execution checklist for moving data, pipelines and consumers from one data platform to another. It covers 43 checks across five phases — readiness, build and rehearsal, cutover, validation and reconciliation, and hypercare and decommission — and tracks progress, blocked and overdue work, and go/no-go gate readiness.</t>
  </si>
  <si>
    <t xml:space="preserve">WHO IT IS FOR</t>
  </si>
  <si>
    <t xml:space="preserve">Platform leads and engineers running a data platform migration (for example on-premises warehouse to cloud, or between cloud platforms), and the cutover manager who coordinates go/no-go.</t>
  </si>
  <si>
    <t xml:space="preserve">HOW TO USE IT</t>
  </si>
  <si>
    <t xml:space="preserve">1. On the Checklist sheet, complete the migration details (name, source and target platforms, planned cutover date, go/no-go authority).</t>
  </si>
  <si>
    <t xml:space="preserve">2. For each check, assign an owner and due date, then keep Status current: Not started, In progress, Done, Blocked or N/A. Record evidence (a link or reference) for every Done item.</t>
  </si>
  <si>
    <t xml:space="preserve">3. Mark a check N/A only where it genuinely does not apply; N/A items are excluded from completion percentages.</t>
  </si>
  <si>
    <t xml:space="preserve">4. Review the Summary sheet before each checkpoint and before the go/no-go meeting. Add rows for migration-specific checks by inserting them inside the table and copying the Flag formula down.</t>
  </si>
  <si>
    <t xml:space="preserve">WHAT YOU PROVIDE</t>
  </si>
  <si>
    <t xml:space="preserve">Owners, due dates, status and evidence for each check. Gate designations are pre-set for the checks that should block a go decision; you may change a check's Gate value if your governance differs.</t>
  </si>
  <si>
    <t xml:space="preserve">WHAT THE OUTPUTS MEAN</t>
  </si>
  <si>
    <t xml:space="preserve">Completion % = Done ÷ applicable checks (all checks not marked N/A). Blank status counts as Not started — it is never treated as complete.</t>
  </si>
  <si>
    <t xml:space="preserve">Cutover readiness looks only at gate checks in phases 1 and 2. It reads READY only when every one of those gate checks is Done or N/A. It is an input to — not a substitute for — the go/no-go decision by the named authority.</t>
  </si>
  <si>
    <t xml:space="preserve">Go-live acceptance looks at gate checks in phase 4 in the same way.</t>
  </si>
  <si>
    <t xml:space="preserve">Flags: BLOCKED (status Blocked), OVERDUE (due date passed and not Done/N/A), Gate open (gate check not yet Done/N/A).</t>
  </si>
  <si>
    <t xml:space="preserve">WORKED EXAMPLE</t>
  </si>
  <si>
    <t xml:space="preserve">[EXAMPLE]  Check MC-30 'Reconcile row counts per object…' — Owner: Data Engineering Lead · Due: cutover day +1 · Status: Done · Evidence: 'Recon report v3 — 214 of 214 tables within 0% tolerance; signed off by finance data owner.' (Fictional illustration; the Checklist itself ships blank.)</t>
  </si>
  <si>
    <t xml:space="preserve">WORKBOOK MAP</t>
  </si>
  <si>
    <t xml:space="preserve">Checklist</t>
  </si>
  <si>
    <t xml:space="preserve">The working checklist: migration details, every check with owner, due date, status, evidence and an automatic flag.</t>
  </si>
  <si>
    <t xml:space="preserve">Summary</t>
  </si>
  <si>
    <t xml:space="preserve">Progress by phase, gate readiness for cutover and go-live, and the items needing attention.</t>
  </si>
  <si>
    <t xml:space="preserve">Lists</t>
  </si>
  <si>
    <t xml:space="preserve">Drop-down values used for validation.</t>
  </si>
  <si>
    <t xml:space="preserve">CELL LEGEND</t>
  </si>
  <si>
    <t xml:space="preserve">Sample</t>
  </si>
  <si>
    <t xml:space="preserve">Input — enter or select your own information here.</t>
  </si>
  <si>
    <t xml:space="preserve">Calculated — driven by formulas; do not overtype.</t>
  </si>
  <si>
    <t xml:space="preserve">[EXAMPLE] Worked example — fictional illustration only. Delete or overwrite before use, or exclude via the summary toggle where provided.</t>
  </si>
  <si>
    <t xml:space="preserve">LICENCE</t>
  </si>
  <si>
    <t xml:space="preserve">This resource is provided under the dataintelligenceinsights.com Standard Use Licence v1.0. © dataintelligenceinsights.com. All rights reserved.</t>
  </si>
  <si>
    <t xml:space="preserve">The full licence terms are set out in the dataintelligenceinsights.com Standard Use Licence v1.0.</t>
  </si>
  <si>
    <t xml:space="preserve">Keep Status current for every check. Blue-tinted cells are inputs; grey cells are calculated.</t>
  </si>
  <si>
    <t xml:space="preserve">Migration name</t>
  </si>
  <si>
    <t xml:space="preserve">Planned cutover date</t>
  </si>
  <si>
    <t xml:space="preserve">Source platform</t>
  </si>
  <si>
    <t xml:space="preserve">Go/no-go authority</t>
  </si>
  <si>
    <t xml:space="preserve">Target platform</t>
  </si>
  <si>
    <t xml:space="preserve">Last updated</t>
  </si>
  <si>
    <t xml:space="preserve">ID</t>
  </si>
  <si>
    <t xml:space="preserve">Phase</t>
  </si>
  <si>
    <t xml:space="preserve">Check</t>
  </si>
  <si>
    <t xml:space="preserve">Acceptance criterion (what 'done' looks like)</t>
  </si>
  <si>
    <t xml:space="preserve">Gate</t>
  </si>
  <si>
    <t xml:space="preserve">Owner</t>
  </si>
  <si>
    <t xml:space="preserve">Due date</t>
  </si>
  <si>
    <t xml:space="preserve">Status</t>
  </si>
  <si>
    <t xml:space="preserve">Evidence / notes</t>
  </si>
  <si>
    <t xml:space="preserve">Flag</t>
  </si>
  <si>
    <t xml:space="preserve">Seq</t>
  </si>
  <si>
    <t xml:space="preserve">MC-01</t>
  </si>
  <si>
    <t xml:space="preserve">1. Readiness &amp; planning</t>
  </si>
  <si>
    <t xml:space="preserve">Confirm migration scope: in-scope datasets, pipelines, reports, integrations and user groups inventoried.</t>
  </si>
  <si>
    <t xml:space="preserve">Scope inventory baselined and signed off by the migration sponsor.</t>
  </si>
  <si>
    <t xml:space="preserve">MC-02</t>
  </si>
  <si>
    <t xml:space="preserve">Agree the migration approach (big-bang, phased by domain, or parallel run) and record the rationale.</t>
  </si>
  <si>
    <t xml:space="preserve">Approach, sequencing and rationale approved.</t>
  </si>
  <si>
    <t xml:space="preserve">MC-03</t>
  </si>
  <si>
    <t xml:space="preserve">Complete source-to-target mapping for every in-scope object (schemas, tables, data types, naming).</t>
  </si>
  <si>
    <t xml:space="preserve">Mapping covers 100% of scope inventory; unmapped objects have a recorded decision.</t>
  </si>
  <si>
    <t xml:space="preserve">MC-04</t>
  </si>
  <si>
    <t xml:space="preserve">Identify platform incompatibilities: SQL dialect, procedures/UDFs, collation, time zones, numeric precision, file formats.</t>
  </si>
  <si>
    <t xml:space="preserve">Incompatibility log exists with a resolution or workaround per item.</t>
  </si>
  <si>
    <t xml:space="preserve">—</t>
  </si>
  <si>
    <t xml:space="preserve">MC-05</t>
  </si>
  <si>
    <t xml:space="preserve">Map dependencies: upstream feeds, downstream consumers, schedules, service accounts and credentials.</t>
  </si>
  <si>
    <t xml:space="preserve">Dependency list reviewed with each upstream and downstream owner.</t>
  </si>
  <si>
    <t xml:space="preserve">MC-06</t>
  </si>
  <si>
    <t xml:space="preserve">Design the target security model: roles, access policies, row/column-level controls, equivalent to source entitlements.</t>
  </si>
  <si>
    <t xml:space="preserve">Security design approved by the data owner and information security.</t>
  </si>
  <si>
    <t xml:space="preserve">MC-07</t>
  </si>
  <si>
    <t xml:space="preserve">Confirm sensitive-data handling on the target: classification, masking/encryption, data residency; privacy review where required.</t>
  </si>
  <si>
    <t xml:space="preserve">Handling confirmed in writing; privacy review complete or recorded as not required.</t>
  </si>
  <si>
    <t xml:space="preserve">MC-08</t>
  </si>
  <si>
    <t xml:space="preserve">Provision target environments (non-production and production); verify network connectivity and firewall rules.</t>
  </si>
  <si>
    <t xml:space="preserve">Connectivity tested from every source and consumer location.</t>
  </si>
  <si>
    <t xml:space="preserve">MC-09</t>
  </si>
  <si>
    <t xml:space="preserve">Validate target capacity and cost estimate (compute sizing, storage, data egress) against expected volumes.</t>
  </si>
  <si>
    <t xml:space="preserve">Estimate reviewed and within approved budget.</t>
  </si>
  <si>
    <t xml:space="preserve">MC-10</t>
  </si>
  <si>
    <t xml:space="preserve">Define the reconciliation approach: row counts, checksums or aggregate totals, key business measures and tolerance per object.</t>
  </si>
  <si>
    <t xml:space="preserve">Reconciliation specification agreed with data owners before any production load.</t>
  </si>
  <si>
    <t xml:space="preserve">MC-11</t>
  </si>
  <si>
    <t xml:space="preserve">Document the rollback plan: triggers, decision owner, steps, maximum rollback window, data re-sync method.</t>
  </si>
  <si>
    <t xml:space="preserve">Rollback plan approved and rehearsed (see 2. Build &amp; rehearsal).</t>
  </si>
  <si>
    <t xml:space="preserve">MC-12</t>
  </si>
  <si>
    <t xml:space="preserve">Agree the communication plan: stakeholder notifications, change-freeze windows, user cut-over instructions.</t>
  </si>
  <si>
    <t xml:space="preserve">Communication schedule issued to all affected groups.</t>
  </si>
  <si>
    <t xml:space="preserve">MC-13</t>
  </si>
  <si>
    <t xml:space="preserve">Name cutover roles, including a single go/no-go decision authority and escalation route.</t>
  </si>
  <si>
    <t xml:space="preserve">Named roles confirmed; go/no-go authority recorded on this sheet.</t>
  </si>
  <si>
    <t xml:space="preserve">MC-14</t>
  </si>
  <si>
    <t xml:space="preserve">2. Build &amp; rehearsal</t>
  </si>
  <si>
    <t xml:space="preserve">Build migration tooling and scripts under version control with repeatable execution.</t>
  </si>
  <si>
    <t xml:space="preserve">Scripts reproducible from source control in a clean environment.</t>
  </si>
  <si>
    <t xml:space="preserve">MC-15</t>
  </si>
  <si>
    <t xml:space="preserve">Test historical/bulk data load in non-production using representative volumes.</t>
  </si>
  <si>
    <t xml:space="preserve">Load completes within the planned window; failures investigated.</t>
  </si>
  <si>
    <t xml:space="preserve">MC-16</t>
  </si>
  <si>
    <t xml:space="preserve">Rebuild or re-point pipelines and scheduled jobs; test end to end on the target.</t>
  </si>
  <si>
    <t xml:space="preserve">All in-scope pipelines produce expected outputs on the target.</t>
  </si>
  <si>
    <t xml:space="preserve">MC-17</t>
  </si>
  <si>
    <t xml:space="preserve">Validate downstream reports, dashboards and extracts against source outputs.</t>
  </si>
  <si>
    <t xml:space="preserve">Side-by-side comparison passed for each critical output.</t>
  </si>
  <si>
    <t xml:space="preserve">MC-18</t>
  </si>
  <si>
    <t xml:space="preserve">Run performance tests for key queries and loads against agreed targets.</t>
  </si>
  <si>
    <t xml:space="preserve">Agreed performance targets met or exceptions accepted by the owner.</t>
  </si>
  <si>
    <t xml:space="preserve">MC-19</t>
  </si>
  <si>
    <t xml:space="preserve">Execute a full dress rehearsal (mock cutover), including a rollback rehearsal, recording actual timings.</t>
  </si>
  <si>
    <t xml:space="preserve">Rehearsal completed; actual timings fit the cutover window.</t>
  </si>
  <si>
    <t xml:space="preserve">MC-20</t>
  </si>
  <si>
    <t xml:space="preserve">Resolve rehearsal defects or accept them with a documented workaround.</t>
  </si>
  <si>
    <t xml:space="preserve">No open severity-1/2 defects without an accepted workaround.</t>
  </si>
  <si>
    <t xml:space="preserve">MC-21</t>
  </si>
  <si>
    <t xml:space="preserve">Finalise the cutover runbook: step sequence, timings, owners, checkpoints, communications.</t>
  </si>
  <si>
    <t xml:space="preserve">Runbook version-controlled and walked through with all cutover roles.</t>
  </si>
  <si>
    <t xml:space="preserve">MC-22</t>
  </si>
  <si>
    <t xml:space="preserve">Agree data and change freeze with source system owners.</t>
  </si>
  <si>
    <t xml:space="preserve">Freeze window confirmed in writing.</t>
  </si>
  <si>
    <t xml:space="preserve">MC-23</t>
  </si>
  <si>
    <t xml:space="preserve">3. Cutover execution</t>
  </si>
  <si>
    <t xml:space="preserve">Hold the go/no-go meeting; record the decision, attendees and open risks accepted.</t>
  </si>
  <si>
    <t xml:space="preserve">Decision recorded by the named go/no-go authority, informed by the Cutover readiness view on the Summary sheet.</t>
  </si>
  <si>
    <t xml:space="preserve">MC-24</t>
  </si>
  <si>
    <t xml:space="preserve">Take pre-cutover backups/snapshots of the source and confirm they are restorable.</t>
  </si>
  <si>
    <t xml:space="preserve">Restore test passed or snapshot verified.</t>
  </si>
  <si>
    <t xml:space="preserve">MC-25</t>
  </si>
  <si>
    <t xml:space="preserve">Freeze source writes or switch on delta capture as specified in the runbook.</t>
  </si>
  <si>
    <t xml:space="preserve">Freeze/delta capture confirmed by the source owner.</t>
  </si>
  <si>
    <t xml:space="preserve">MC-26</t>
  </si>
  <si>
    <t xml:space="preserve">Execute the final or delta data load; capture job logs.</t>
  </si>
  <si>
    <t xml:space="preserve">Load complete with no unexplained failures; logs retained.</t>
  </si>
  <si>
    <t xml:space="preserve">MC-27</t>
  </si>
  <si>
    <t xml:space="preserve">Switch schedules and integrations to the target; disable (do not delete) legacy schedules.</t>
  </si>
  <si>
    <t xml:space="preserve">Legacy schedules disabled; target schedules active.</t>
  </si>
  <si>
    <t xml:space="preserve">MC-28</t>
  </si>
  <si>
    <t xml:space="preserve">Enable access on the target for users and service accounts.</t>
  </si>
  <si>
    <t xml:space="preserve">Access enabled per approved security model.</t>
  </si>
  <si>
    <t xml:space="preserve">MC-29</t>
  </si>
  <si>
    <t xml:space="preserve">Track runbook checkpoint timings against plan and monitor rollback trigger points.</t>
  </si>
  <si>
    <t xml:space="preserve">Checkpoint log maintained throughout cutover.</t>
  </si>
  <si>
    <t xml:space="preserve">MC-30</t>
  </si>
  <si>
    <t xml:space="preserve">4. Validation &amp; reconciliation</t>
  </si>
  <si>
    <t xml:space="preserve">Reconcile row counts per object within the agreed tolerance.</t>
  </si>
  <si>
    <t xml:space="preserve">All objects within tolerance or exceptions accepted by the data owner.</t>
  </si>
  <si>
    <t xml:space="preserve">MC-31</t>
  </si>
  <si>
    <t xml:space="preserve">Reconcile checksums, hash totals or column aggregates for critical objects.</t>
  </si>
  <si>
    <t xml:space="preserve">Critical objects reconcile exactly or within stated tolerance.</t>
  </si>
  <si>
    <t xml:space="preserve">MC-32</t>
  </si>
  <si>
    <t xml:space="preserve">Reconcile key business measures (e.g. period totals, entity counts) and obtain data-owner sign-off.</t>
  </si>
  <si>
    <t xml:space="preserve">Data owners have signed off each key measure.</t>
  </si>
  <si>
    <t xml:space="preserve">MC-33</t>
  </si>
  <si>
    <t xml:space="preserve">Verify referential integrity and key uniqueness on the target.</t>
  </si>
  <si>
    <t xml:space="preserve">No orphaned keys or duplicate primary keys outside accepted exceptions.</t>
  </si>
  <si>
    <t xml:space="preserve">MC-34</t>
  </si>
  <si>
    <t xml:space="preserve">Validate security: test entitlements by role; confirm no excess access.</t>
  </si>
  <si>
    <t xml:space="preserve">Role-based access tests passed.</t>
  </si>
  <si>
    <t xml:space="preserve">MC-35</t>
  </si>
  <si>
    <t xml:space="preserve">Smoke-test critical reports and downstream consumers on the target.</t>
  </si>
  <si>
    <t xml:space="preserve">All critical consumers confirmed working by their owners.</t>
  </si>
  <si>
    <t xml:space="preserve">MC-36</t>
  </si>
  <si>
    <t xml:space="preserve">Obtain business acceptance to declare the migration live.</t>
  </si>
  <si>
    <t xml:space="preserve">Formal acceptance recorded.</t>
  </si>
  <si>
    <t xml:space="preserve">MC-37</t>
  </si>
  <si>
    <t xml:space="preserve">5. Hypercare &amp; decommission</t>
  </si>
  <si>
    <t xml:space="preserve">Stand up hypercare: support rota, triage route and exit criteria.</t>
  </si>
  <si>
    <t xml:space="preserve">Hypercare rota published; exit criteria agreed.</t>
  </si>
  <si>
    <t xml:space="preserve">MC-38</t>
  </si>
  <si>
    <t xml:space="preserve">Activate monitoring and alerting on the target (pipeline failures, data freshness, cost).</t>
  </si>
  <si>
    <t xml:space="preserve">Alerts route to a named owner and have been test-fired.</t>
  </si>
  <si>
    <t xml:space="preserve">MC-39</t>
  </si>
  <si>
    <t xml:space="preserve">Log post-migration issues and track them to closure.</t>
  </si>
  <si>
    <t xml:space="preserve">Issue log maintained; hypercare exit criteria met.</t>
  </si>
  <si>
    <t xml:space="preserve">MC-40</t>
  </si>
  <si>
    <t xml:space="preserve">Keep the source read-only for the agreed fallback/retention period.</t>
  </si>
  <si>
    <t xml:space="preserve">Source access set to read-only; retention end date recorded.</t>
  </si>
  <si>
    <t xml:space="preserve">MC-41</t>
  </si>
  <si>
    <t xml:space="preserve">Update documentation: catalogue, lineage, runbooks, data dictionary, support guides.</t>
  </si>
  <si>
    <t xml:space="preserve">Documentation reflects the target platform.</t>
  </si>
  <si>
    <t xml:space="preserve">MC-42</t>
  </si>
  <si>
    <t xml:space="preserve">Approve legacy decommissioning: archive/retain data per policy; release licences and infrastructure.</t>
  </si>
  <si>
    <t xml:space="preserve">Decommission approved by the system owner and records owner.</t>
  </si>
  <si>
    <t xml:space="preserve">MC-43</t>
  </si>
  <si>
    <t xml:space="preserve">Run a lessons-learned review and record actions.</t>
  </si>
  <si>
    <t xml:space="preserve">Review held; actions assigned.</t>
  </si>
  <si>
    <t xml:space="preserve">Migration Summary</t>
  </si>
  <si>
    <t xml:space="preserve">PROGRESS BY PHASE</t>
  </si>
  <si>
    <t xml:space="preserve">Checks</t>
  </si>
  <si>
    <t xml:space="preserve">Applicable</t>
  </si>
  <si>
    <t xml:space="preserve">Done</t>
  </si>
  <si>
    <t xml:space="preserve">In progress</t>
  </si>
  <si>
    <t xml:space="preserve">Blocked</t>
  </si>
  <si>
    <t xml:space="preserve">Not started</t>
  </si>
  <si>
    <t xml:space="preserve">Overdue</t>
  </si>
  <si>
    <t xml:space="preserve">Completion %</t>
  </si>
  <si>
    <t xml:space="preserve">All phases</t>
  </si>
  <si>
    <t xml:space="preserve">GATE READINESS</t>
  </si>
  <si>
    <t xml:space="preserve">Gate scope</t>
  </si>
  <si>
    <t xml:space="preserve">Gate checks</t>
  </si>
  <si>
    <t xml:space="preserve">Done / N/A</t>
  </si>
  <si>
    <t xml:space="preserve">Open</t>
  </si>
  <si>
    <t xml:space="preserve">Readiness status</t>
  </si>
  <si>
    <t xml:space="preserve">Cutover readiness (phases 1–2)</t>
  </si>
  <si>
    <t xml:space="preserve">Go-live acceptance (phase 4)</t>
  </si>
  <si>
    <t xml:space="preserve">ATTENTION LIST — blocked and overdue checks (first 15)</t>
  </si>
  <si>
    <t xml:space="preserve">Completion % excludes N/A checks. Blank status is counted as Not started. Readiness status summarises gate checks only and does not replace the go/no-go decision.</t>
  </si>
  <si>
    <t xml:space="preserve">N/A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</si>
</sst>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0"/>
    <numFmt numFmtId="167" formatCode="0%"/>
  </numFmts>
  <fonts count="17">
    <font>
      <sz val="10"/>
      <color rgb="FF17212B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b val="true"/>
      <sz val="16"/>
      <color rgb="FF0B1F33"/>
      <name val="Arial"/>
      <family val="0"/>
      <charset val="1"/>
    </font>
    <font>
      <sz val="9"/>
      <color rgb="FF5B6672"/>
      <name val="Arial"/>
      <family val="0"/>
      <charset val="1"/>
    </font>
    <font>
      <b val="true"/>
      <sz val="10"/>
      <color rgb="FF087E8B"/>
      <name val="Arial"/>
      <family val="0"/>
      <charset val="1"/>
    </font>
    <font>
      <b val="true"/>
      <u val="single"/>
      <sz val="10"/>
      <color rgb="FF087E8B"/>
      <name val="Arial"/>
      <family val="0"/>
      <charset val="1"/>
    </font>
    <font>
      <i val="true"/>
      <sz val="10"/>
      <color rgb="FF5B6672"/>
      <name val="Arial"/>
      <family val="0"/>
      <charset val="1"/>
    </font>
    <font>
      <b val="true"/>
      <sz val="14"/>
      <color rgb="FF0B1F33"/>
      <name val="Arial"/>
      <family val="0"/>
      <charset val="1"/>
    </font>
    <font>
      <b val="true"/>
      <sz val="9"/>
      <color rgb="FF5B667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7212B"/>
      <name val="Arial"/>
      <family val="0"/>
      <charset val="1"/>
    </font>
    <font>
      <sz val="8"/>
      <color rgb="FF5B6672"/>
      <name val="Arial"/>
      <family val="0"/>
      <charset val="1"/>
    </font>
    <font>
      <sz val="10"/>
      <color rgb="FF5B6672"/>
      <name val="Arial"/>
      <family val="0"/>
      <charset val="1"/>
    </font>
    <font>
      <i val="true"/>
      <sz val="9"/>
      <color rgb="FF5B667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6F2F3"/>
        <bgColor rgb="FFE8ECF0"/>
      </patternFill>
    </fill>
    <fill>
      <patternFill patternType="solid">
        <fgColor rgb="FFF4F6F8"/>
        <bgColor rgb="FFE6F2F3"/>
      </patternFill>
    </fill>
    <fill>
      <patternFill patternType="solid">
        <fgColor rgb="FFE8ECF0"/>
        <bgColor rgb="FFE6F2F3"/>
      </patternFill>
    </fill>
    <fill>
      <patternFill patternType="solid">
        <fgColor rgb="FF0B1F33"/>
        <bgColor rgb="FF17212B"/>
      </patternFill>
    </fill>
    <fill>
      <patternFill patternType="solid">
        <fgColor rgb="FF087E8B"/>
        <bgColor rgb="FF0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87E8B"/>
      </bottom>
      <diagonal/>
    </border>
    <border diagonalUp="false" diagonalDown="false">
      <left style="thin">
        <color rgb="FFD9E1E7"/>
      </left>
      <right style="thin">
        <color rgb="FFD9E1E7"/>
      </right>
      <top style="thin">
        <color rgb="FFD9E1E7"/>
      </top>
      <bottom style="thin">
        <color rgb="FFD9E1E7"/>
      </bottom>
      <diagonal/>
    </border>
    <border diagonalUp="false" diagonalDown="false">
      <left style="thin">
        <color rgb="FFD9E1E7"/>
      </left>
      <right/>
      <top style="thin">
        <color rgb="FFD9E1E7"/>
      </top>
      <bottom style="thin">
        <color rgb="FFD9E1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3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3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0B1F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212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6F2F3"/>
          <bgColor rgb="FF000000"/>
        </patternFill>
      </fill>
    </dxf>
    <dxf>
      <fill>
        <patternFill patternType="solid">
          <fgColor rgb="FFD9E1E7"/>
          <bgColor rgb="FF000000"/>
        </patternFill>
      </fill>
    </dxf>
    <dxf>
      <fill>
        <patternFill patternType="solid">
          <fgColor rgb="FFF4F6F8"/>
          <bgColor rgb="FF000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0B1F33"/>
        </patternFill>
      </fill>
    </dxf>
    <dxf>
      <font>
        <name val="Arial"/>
        <charset val="1"/>
        <family val="0"/>
        <b val="1"/>
        <color rgb="FF0B1F33"/>
      </font>
      <fill>
        <patternFill>
          <bgColor rgb="FFD9E1E7"/>
        </patternFill>
      </fill>
    </dxf>
    <dxf>
      <font>
        <name val="Arial"/>
        <charset val="1"/>
        <family val="0"/>
        <b val="1"/>
        <color rgb="FF087E8B"/>
      </font>
      <fill>
        <patternFill>
          <bgColor rgb="FFC7E2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87E8B"/>
      <rgbColor rgb="FFC0C0C0"/>
      <rgbColor rgb="FF808080"/>
      <rgbColor rgb="FF9999FF"/>
      <rgbColor rgb="FF993366"/>
      <rgbColor rgb="FFF4F6F8"/>
      <rgbColor rgb="FFE6F2F3"/>
      <rgbColor rgb="FF660066"/>
      <rgbColor rgb="FFFF8080"/>
      <rgbColor rgb="FF0066CC"/>
      <rgbColor rgb="FFC7E2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CF0"/>
      <rgbColor rgb="FFD9E1E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2"/>
      <rgbColor rgb="FF969696"/>
      <rgbColor rgb="FF0B1F33"/>
      <rgbColor rgb="FF339966"/>
      <rgbColor rgb="FF003300"/>
      <rgbColor rgb="FF333300"/>
      <rgbColor rgb="FF993300"/>
      <rgbColor rgb="FF993366"/>
      <rgbColor rgb="FF333399"/>
      <rgbColor rgb="FF1721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1310400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190440"/>
          <a:ext cx="314280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igration_Checklist_v1.0.xlsx" TargetMode="External"/><Relationship Id="rId2" Type="http://schemas.openxmlformats.org/officeDocument/2006/relationships/hyperlink" Target="Migration_Checklist_v1.0.xlsx" TargetMode="External"/><Relationship Id="rId3" Type="http://schemas.openxmlformats.org/officeDocument/2006/relationships/hyperlink" Target="Migration_Checklist_v1.0.xlsx" TargetMode="External"/><Relationship Id="rId4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92"/>
    <col collapsed="false" customWidth="true" hidden="false" outlineLevel="0" max="4" min="4" style="0" width="2"/>
  </cols>
  <sheetData>
    <row r="1" customFormat="false" ht="15" hidden="false" customHeight="false" outlineLevel="0" collapsed="false">
      <c r="A1" s="1"/>
      <c r="B1" s="1"/>
      <c r="C1" s="1"/>
    </row>
    <row r="2" customFormat="false" ht="42" hidden="false" customHeight="true" outlineLevel="0" collapsed="false">
      <c r="A2" s="1"/>
      <c r="B2" s="1"/>
      <c r="C2" s="1"/>
    </row>
    <row r="3" customFormat="false" ht="15" hidden="false" customHeight="false" outlineLevel="0" collapsed="false">
      <c r="A3" s="1"/>
      <c r="B3" s="1"/>
      <c r="C3" s="1"/>
    </row>
    <row r="4" customFormat="false" ht="19.7" hidden="false" customHeight="false" outlineLevel="0" collapsed="false">
      <c r="A4" s="1"/>
      <c r="B4" s="2" t="s">
        <v>0</v>
      </c>
      <c r="C4" s="1"/>
    </row>
    <row r="5" customFormat="false" ht="15" hidden="false" customHeight="false" outlineLevel="0" collapsed="false">
      <c r="A5" s="1"/>
      <c r="B5" s="3" t="s">
        <v>1</v>
      </c>
      <c r="C5" s="1"/>
    </row>
    <row r="6" customFormat="false" ht="15" hidden="false" customHeight="false" outlineLevel="0" collapsed="false">
      <c r="A6" s="1"/>
      <c r="B6" s="4"/>
      <c r="C6" s="4"/>
    </row>
    <row r="7" customFormat="false" ht="15" hidden="false" customHeight="false" outlineLevel="0" collapsed="false">
      <c r="A7" s="1"/>
      <c r="B7" s="1"/>
      <c r="C7" s="1"/>
    </row>
    <row r="8" customFormat="false" ht="55.5" hidden="false" customHeight="true" outlineLevel="0" collapsed="false">
      <c r="A8" s="1"/>
      <c r="B8" s="5" t="s">
        <v>2</v>
      </c>
      <c r="C8" s="6" t="s">
        <v>3</v>
      </c>
    </row>
    <row r="9" customFormat="false" ht="15" hidden="false" customHeight="false" outlineLevel="0" collapsed="false">
      <c r="A9" s="1"/>
      <c r="B9" s="1"/>
      <c r="C9" s="1"/>
    </row>
    <row r="10" customFormat="false" ht="27.75" hidden="false" customHeight="true" outlineLevel="0" collapsed="false">
      <c r="A10" s="1"/>
      <c r="B10" s="5" t="s">
        <v>4</v>
      </c>
      <c r="C10" s="6" t="s">
        <v>5</v>
      </c>
    </row>
    <row r="11" customFormat="false" ht="15" hidden="false" customHeight="false" outlineLevel="0" collapsed="false">
      <c r="A11" s="1"/>
      <c r="B11" s="1"/>
      <c r="C11" s="1"/>
    </row>
    <row r="12" customFormat="false" ht="27.75" hidden="false" customHeight="true" outlineLevel="0" collapsed="false">
      <c r="A12" s="1"/>
      <c r="B12" s="5" t="s">
        <v>6</v>
      </c>
      <c r="C12" s="6" t="s">
        <v>7</v>
      </c>
    </row>
    <row r="13" customFormat="false" ht="27.75" hidden="false" customHeight="true" outlineLevel="0" collapsed="false">
      <c r="A13" s="1"/>
      <c r="B13" s="1"/>
      <c r="C13" s="6" t="s">
        <v>8</v>
      </c>
    </row>
    <row r="14" customFormat="false" ht="27.75" hidden="false" customHeight="true" outlineLevel="0" collapsed="false">
      <c r="A14" s="1"/>
      <c r="B14" s="1"/>
      <c r="C14" s="6" t="s">
        <v>9</v>
      </c>
    </row>
    <row r="15" customFormat="false" ht="42" hidden="false" customHeight="true" outlineLevel="0" collapsed="false">
      <c r="A15" s="1"/>
      <c r="B15" s="1"/>
      <c r="C15" s="6" t="s">
        <v>10</v>
      </c>
    </row>
    <row r="16" customFormat="false" ht="15" hidden="false" customHeight="false" outlineLevel="0" collapsed="false">
      <c r="A16" s="1"/>
      <c r="B16" s="1"/>
      <c r="C16" s="1"/>
    </row>
    <row r="17" customFormat="false" ht="42" hidden="false" customHeight="true" outlineLevel="0" collapsed="false">
      <c r="A17" s="1"/>
      <c r="B17" s="5" t="s">
        <v>11</v>
      </c>
      <c r="C17" s="6" t="s">
        <v>12</v>
      </c>
    </row>
    <row r="18" customFormat="false" ht="15" hidden="false" customHeight="false" outlineLevel="0" collapsed="false">
      <c r="A18" s="1"/>
      <c r="B18" s="1"/>
      <c r="C18" s="1"/>
    </row>
    <row r="19" customFormat="false" ht="27.75" hidden="false" customHeight="true" outlineLevel="0" collapsed="false">
      <c r="A19" s="1"/>
      <c r="B19" s="5" t="s">
        <v>13</v>
      </c>
      <c r="C19" s="6" t="s">
        <v>14</v>
      </c>
    </row>
    <row r="20" customFormat="false" ht="42" hidden="false" customHeight="true" outlineLevel="0" collapsed="false">
      <c r="A20" s="1"/>
      <c r="B20" s="1"/>
      <c r="C20" s="6" t="s">
        <v>15</v>
      </c>
    </row>
    <row r="21" customFormat="false" ht="15" hidden="false" customHeight="true" outlineLevel="0" collapsed="false">
      <c r="A21" s="1"/>
      <c r="B21" s="1"/>
      <c r="C21" s="6" t="s">
        <v>16</v>
      </c>
    </row>
    <row r="22" customFormat="false" ht="27.75" hidden="false" customHeight="true" outlineLevel="0" collapsed="false">
      <c r="A22" s="1"/>
      <c r="B22" s="1"/>
      <c r="C22" s="6" t="s">
        <v>17</v>
      </c>
    </row>
    <row r="23" customFormat="false" ht="15" hidden="false" customHeight="false" outlineLevel="0" collapsed="false">
      <c r="A23" s="1"/>
      <c r="B23" s="1"/>
      <c r="C23" s="1"/>
    </row>
    <row r="24" customFormat="false" ht="55.5" hidden="false" customHeight="true" outlineLevel="0" collapsed="false">
      <c r="A24" s="1"/>
      <c r="B24" s="5" t="s">
        <v>18</v>
      </c>
      <c r="C24" s="6" t="s">
        <v>19</v>
      </c>
    </row>
    <row r="25" customFormat="false" ht="15" hidden="false" customHeight="false" outlineLevel="0" collapsed="false">
      <c r="A25" s="1"/>
      <c r="B25" s="1"/>
      <c r="C25" s="1"/>
    </row>
    <row r="26" customFormat="false" ht="15" hidden="false" customHeight="false" outlineLevel="0" collapsed="false">
      <c r="A26" s="1"/>
      <c r="B26" s="7" t="s">
        <v>20</v>
      </c>
      <c r="C26" s="1"/>
    </row>
    <row r="27" customFormat="false" ht="27.75" hidden="false" customHeight="true" outlineLevel="0" collapsed="false">
      <c r="A27" s="1"/>
      <c r="B27" s="8" t="s">
        <v>21</v>
      </c>
      <c r="C27" s="6" t="s">
        <v>22</v>
      </c>
    </row>
    <row r="28" customFormat="false" ht="15" hidden="false" customHeight="true" outlineLevel="0" collapsed="false">
      <c r="A28" s="1"/>
      <c r="B28" s="8" t="s">
        <v>23</v>
      </c>
      <c r="C28" s="6" t="s">
        <v>24</v>
      </c>
    </row>
    <row r="29" customFormat="false" ht="15" hidden="false" customHeight="true" outlineLevel="0" collapsed="false">
      <c r="A29" s="1"/>
      <c r="B29" s="8" t="s">
        <v>25</v>
      </c>
      <c r="C29" s="6" t="s">
        <v>26</v>
      </c>
    </row>
    <row r="30" customFormat="false" ht="15" hidden="false" customHeight="false" outlineLevel="0" collapsed="false">
      <c r="A30" s="1"/>
      <c r="B30" s="1"/>
      <c r="C30" s="1"/>
    </row>
    <row r="31" customFormat="false" ht="15" hidden="false" customHeight="false" outlineLevel="0" collapsed="false">
      <c r="A31" s="1"/>
      <c r="B31" s="7" t="s">
        <v>27</v>
      </c>
      <c r="C31" s="1"/>
    </row>
    <row r="32" customFormat="false" ht="15" hidden="false" customHeight="true" outlineLevel="0" collapsed="false">
      <c r="A32" s="1"/>
      <c r="B32" s="9" t="s">
        <v>28</v>
      </c>
      <c r="C32" s="6" t="s">
        <v>29</v>
      </c>
    </row>
    <row r="33" customFormat="false" ht="15" hidden="false" customHeight="true" outlineLevel="0" collapsed="false">
      <c r="A33" s="1"/>
      <c r="B33" s="10" t="s">
        <v>28</v>
      </c>
      <c r="C33" s="6" t="s">
        <v>30</v>
      </c>
    </row>
    <row r="34" customFormat="false" ht="27.75" hidden="false" customHeight="true" outlineLevel="0" collapsed="false">
      <c r="A34" s="1"/>
      <c r="B34" s="11" t="s">
        <v>28</v>
      </c>
      <c r="C34" s="6" t="s">
        <v>31</v>
      </c>
    </row>
    <row r="35" customFormat="false" ht="15" hidden="false" customHeight="false" outlineLevel="0" collapsed="false">
      <c r="A35" s="1"/>
      <c r="B35" s="1"/>
      <c r="C35" s="1"/>
    </row>
    <row r="36" customFormat="false" ht="27.75" hidden="false" customHeight="true" outlineLevel="0" collapsed="false">
      <c r="A36" s="1"/>
      <c r="B36" s="7" t="s">
        <v>32</v>
      </c>
      <c r="C36" s="12" t="s">
        <v>33</v>
      </c>
    </row>
    <row r="37" customFormat="false" ht="15" hidden="false" customHeight="false" outlineLevel="0" collapsed="false">
      <c r="A37" s="1"/>
      <c r="B37" s="1"/>
      <c r="C37" s="12" t="s">
        <v>34</v>
      </c>
    </row>
  </sheetData>
  <hyperlinks>
    <hyperlink ref="B27" r:id="rId1" location="'Checklist'!A1" display="Checklist"/>
    <hyperlink ref="B28" r:id="rId2" location="'Summary'!A1" display="Summary"/>
    <hyperlink ref="B29" r:id="rId3" location="'Lists'!A1" display="Lists"/>
  </hyperlinks>
  <printOptions headings="false" gridLines="false" gridLinesSet="true" horizontalCentered="false" verticalCentered="false"/>
  <pageMargins left="0.75" right="0.75" top="1" bottom="0.6" header="0.511811023622047" footer="0.2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&amp;L&amp;7 This resource is provided under the dataintelligenceinsights.com Standard Use Licence v1.0. © dataintelligenceinsights.com. All rights reserved.&amp;R&amp;7 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40"/>
    <col collapsed="false" customWidth="true" hidden="false" outlineLevel="0" max="5" min="5" style="0" width="8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36"/>
    <col collapsed="false" customWidth="true" hidden="false" outlineLevel="0" max="10" min="10" style="0" width="14"/>
    <col collapsed="false" customWidth="true" hidden="true" outlineLevel="0" max="11" min="11" style="0" width="6"/>
  </cols>
  <sheetData>
    <row r="1" customFormat="false" ht="17.35" hidden="false" customHeight="false" outlineLevel="0" collapsed="false">
      <c r="A1" s="1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3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1"/>
      <c r="B4" s="14" t="s">
        <v>36</v>
      </c>
      <c r="C4" s="15"/>
      <c r="D4" s="15"/>
      <c r="E4" s="1"/>
      <c r="F4" s="16" t="s">
        <v>37</v>
      </c>
      <c r="G4" s="17"/>
      <c r="H4" s="17"/>
      <c r="I4" s="17"/>
      <c r="J4" s="1"/>
      <c r="K4" s="1"/>
    </row>
    <row r="5" customFormat="false" ht="15" hidden="false" customHeight="false" outlineLevel="0" collapsed="false">
      <c r="A5" s="1"/>
      <c r="B5" s="14" t="s">
        <v>38</v>
      </c>
      <c r="C5" s="15"/>
      <c r="D5" s="15"/>
      <c r="E5" s="1"/>
      <c r="F5" s="16" t="s">
        <v>39</v>
      </c>
      <c r="G5" s="15"/>
      <c r="H5" s="15"/>
      <c r="I5" s="15"/>
      <c r="J5" s="1"/>
      <c r="K5" s="1"/>
    </row>
    <row r="6" customFormat="false" ht="15" hidden="false" customHeight="false" outlineLevel="0" collapsed="false">
      <c r="A6" s="1"/>
      <c r="B6" s="14" t="s">
        <v>40</v>
      </c>
      <c r="C6" s="15"/>
      <c r="D6" s="15"/>
      <c r="E6" s="1"/>
      <c r="F6" s="16" t="s">
        <v>41</v>
      </c>
      <c r="G6" s="17"/>
      <c r="H6" s="17"/>
      <c r="I6" s="17"/>
      <c r="J6" s="1"/>
      <c r="K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customFormat="false" ht="30" hidden="false" customHeight="true" outlineLevel="0" collapsed="false">
      <c r="A8" s="18" t="s">
        <v>42</v>
      </c>
      <c r="B8" s="18" t="s">
        <v>43</v>
      </c>
      <c r="C8" s="18" t="s">
        <v>44</v>
      </c>
      <c r="D8" s="18" t="s">
        <v>45</v>
      </c>
      <c r="E8" s="18" t="s">
        <v>46</v>
      </c>
      <c r="F8" s="18" t="s">
        <v>47</v>
      </c>
      <c r="G8" s="18" t="s">
        <v>48</v>
      </c>
      <c r="H8" s="18" t="s">
        <v>49</v>
      </c>
      <c r="I8" s="18" t="s">
        <v>50</v>
      </c>
      <c r="J8" s="18" t="s">
        <v>51</v>
      </c>
      <c r="K8" s="18" t="s">
        <v>52</v>
      </c>
    </row>
    <row r="9" customFormat="false" ht="39.75" hidden="false" customHeight="true" outlineLevel="0" collapsed="false">
      <c r="A9" s="19" t="s">
        <v>53</v>
      </c>
      <c r="B9" s="20" t="s">
        <v>54</v>
      </c>
      <c r="C9" s="20" t="s">
        <v>55</v>
      </c>
      <c r="D9" s="20" t="s">
        <v>56</v>
      </c>
      <c r="E9" s="21" t="s">
        <v>46</v>
      </c>
      <c r="F9" s="22"/>
      <c r="G9" s="23"/>
      <c r="H9" s="21"/>
      <c r="I9" s="22"/>
      <c r="J9" s="24" t="str">
        <f aca="true">IF(C9="","",IF(H9="Blocked","BLOCKED",IF(AND(ISNUMBER(G9),G9&lt;TODAY(),H9&lt;&gt;"Done",H9&lt;&gt;"N/A"),"OVERDUE",IF(AND(E9="Gate",H9&lt;&gt;"Done",H9&lt;&gt;"N/A"),"Gate open",""))))</f>
        <v>Gate open</v>
      </c>
      <c r="K9" s="25" t="str">
        <f aca="false">IF(OR(J9="BLOCKED",J9="OVERDUE"),COUNTIF($J$9:J9,"BLOCKED")+COUNTIF($J$9:J9,"OVERDUE"),"")</f>
        <v/>
      </c>
    </row>
    <row r="10" customFormat="false" ht="39.75" hidden="false" customHeight="true" outlineLevel="0" collapsed="false">
      <c r="A10" s="19" t="s">
        <v>57</v>
      </c>
      <c r="B10" s="20" t="s">
        <v>54</v>
      </c>
      <c r="C10" s="20" t="s">
        <v>58</v>
      </c>
      <c r="D10" s="20" t="s">
        <v>59</v>
      </c>
      <c r="E10" s="21" t="s">
        <v>46</v>
      </c>
      <c r="F10" s="22"/>
      <c r="G10" s="23"/>
      <c r="H10" s="21"/>
      <c r="I10" s="22"/>
      <c r="J10" s="24" t="str">
        <f aca="true">IF(C10="","",IF(H10="Blocked","BLOCKED",IF(AND(ISNUMBER(G10),G10&lt;TODAY(),H10&lt;&gt;"Done",H10&lt;&gt;"N/A"),"OVERDUE",IF(AND(E10="Gate",H10&lt;&gt;"Done",H10&lt;&gt;"N/A"),"Gate open",""))))</f>
        <v>Gate open</v>
      </c>
      <c r="K10" s="25" t="str">
        <f aca="false">IF(OR(J10="BLOCKED",J10="OVERDUE"),COUNTIF($J$9:J10,"BLOCKED")+COUNTIF($J$9:J10,"OVERDUE"),"")</f>
        <v/>
      </c>
    </row>
    <row r="11" customFormat="false" ht="39.75" hidden="false" customHeight="true" outlineLevel="0" collapsed="false">
      <c r="A11" s="19" t="s">
        <v>60</v>
      </c>
      <c r="B11" s="20" t="s">
        <v>54</v>
      </c>
      <c r="C11" s="20" t="s">
        <v>61</v>
      </c>
      <c r="D11" s="20" t="s">
        <v>62</v>
      </c>
      <c r="E11" s="21" t="s">
        <v>46</v>
      </c>
      <c r="F11" s="22"/>
      <c r="G11" s="23"/>
      <c r="H11" s="21"/>
      <c r="I11" s="22"/>
      <c r="J11" s="24" t="str">
        <f aca="true">IF(C11="","",IF(H11="Blocked","BLOCKED",IF(AND(ISNUMBER(G11),G11&lt;TODAY(),H11&lt;&gt;"Done",H11&lt;&gt;"N/A"),"OVERDUE",IF(AND(E11="Gate",H11&lt;&gt;"Done",H11&lt;&gt;"N/A"),"Gate open",""))))</f>
        <v>Gate open</v>
      </c>
      <c r="K11" s="25" t="str">
        <f aca="false">IF(OR(J11="BLOCKED",J11="OVERDUE"),COUNTIF($J$9:J11,"BLOCKED")+COUNTIF($J$9:J11,"OVERDUE"),"")</f>
        <v/>
      </c>
    </row>
    <row r="12" customFormat="false" ht="39.75" hidden="false" customHeight="true" outlineLevel="0" collapsed="false">
      <c r="A12" s="19" t="s">
        <v>63</v>
      </c>
      <c r="B12" s="20" t="s">
        <v>54</v>
      </c>
      <c r="C12" s="20" t="s">
        <v>64</v>
      </c>
      <c r="D12" s="20" t="s">
        <v>65</v>
      </c>
      <c r="E12" s="21" t="s">
        <v>66</v>
      </c>
      <c r="F12" s="22"/>
      <c r="G12" s="23"/>
      <c r="H12" s="21"/>
      <c r="I12" s="22"/>
      <c r="J12" s="24" t="str">
        <f aca="true">IF(C12="","",IF(H12="Blocked","BLOCKED",IF(AND(ISNUMBER(G12),G12&lt;TODAY(),H12&lt;&gt;"Done",H12&lt;&gt;"N/A"),"OVERDUE",IF(AND(E12="Gate",H12&lt;&gt;"Done",H12&lt;&gt;"N/A"),"Gate open",""))))</f>
        <v/>
      </c>
      <c r="K12" s="25" t="str">
        <f aca="false">IF(OR(J12="BLOCKED",J12="OVERDUE"),COUNTIF($J$9:J12,"BLOCKED")+COUNTIF($J$9:J12,"OVERDUE"),"")</f>
        <v/>
      </c>
    </row>
    <row r="13" customFormat="false" ht="39.75" hidden="false" customHeight="true" outlineLevel="0" collapsed="false">
      <c r="A13" s="19" t="s">
        <v>67</v>
      </c>
      <c r="B13" s="20" t="s">
        <v>54</v>
      </c>
      <c r="C13" s="20" t="s">
        <v>68</v>
      </c>
      <c r="D13" s="20" t="s">
        <v>69</v>
      </c>
      <c r="E13" s="21" t="s">
        <v>66</v>
      </c>
      <c r="F13" s="22"/>
      <c r="G13" s="23"/>
      <c r="H13" s="21"/>
      <c r="I13" s="22"/>
      <c r="J13" s="24" t="str">
        <f aca="true">IF(C13="","",IF(H13="Blocked","BLOCKED",IF(AND(ISNUMBER(G13),G13&lt;TODAY(),H13&lt;&gt;"Done",H13&lt;&gt;"N/A"),"OVERDUE",IF(AND(E13="Gate",H13&lt;&gt;"Done",H13&lt;&gt;"N/A"),"Gate open",""))))</f>
        <v/>
      </c>
      <c r="K13" s="25" t="str">
        <f aca="false">IF(OR(J13="BLOCKED",J13="OVERDUE"),COUNTIF($J$9:J13,"BLOCKED")+COUNTIF($J$9:J13,"OVERDUE"),"")</f>
        <v/>
      </c>
    </row>
    <row r="14" customFormat="false" ht="39.75" hidden="false" customHeight="true" outlineLevel="0" collapsed="false">
      <c r="A14" s="19" t="s">
        <v>70</v>
      </c>
      <c r="B14" s="20" t="s">
        <v>54</v>
      </c>
      <c r="C14" s="20" t="s">
        <v>71</v>
      </c>
      <c r="D14" s="20" t="s">
        <v>72</v>
      </c>
      <c r="E14" s="21" t="s">
        <v>46</v>
      </c>
      <c r="F14" s="22"/>
      <c r="G14" s="23"/>
      <c r="H14" s="21"/>
      <c r="I14" s="22"/>
      <c r="J14" s="24" t="str">
        <f aca="true">IF(C14="","",IF(H14="Blocked","BLOCKED",IF(AND(ISNUMBER(G14),G14&lt;TODAY(),H14&lt;&gt;"Done",H14&lt;&gt;"N/A"),"OVERDUE",IF(AND(E14="Gate",H14&lt;&gt;"Done",H14&lt;&gt;"N/A"),"Gate open",""))))</f>
        <v>Gate open</v>
      </c>
      <c r="K14" s="25" t="str">
        <f aca="false">IF(OR(J14="BLOCKED",J14="OVERDUE"),COUNTIF($J$9:J14,"BLOCKED")+COUNTIF($J$9:J14,"OVERDUE"),"")</f>
        <v/>
      </c>
    </row>
    <row r="15" customFormat="false" ht="39.75" hidden="false" customHeight="true" outlineLevel="0" collapsed="false">
      <c r="A15" s="19" t="s">
        <v>73</v>
      </c>
      <c r="B15" s="20" t="s">
        <v>54</v>
      </c>
      <c r="C15" s="20" t="s">
        <v>74</v>
      </c>
      <c r="D15" s="20" t="s">
        <v>75</v>
      </c>
      <c r="E15" s="21" t="s">
        <v>46</v>
      </c>
      <c r="F15" s="22"/>
      <c r="G15" s="23"/>
      <c r="H15" s="21"/>
      <c r="I15" s="22"/>
      <c r="J15" s="24" t="str">
        <f aca="true">IF(C15="","",IF(H15="Blocked","BLOCKED",IF(AND(ISNUMBER(G15),G15&lt;TODAY(),H15&lt;&gt;"Done",H15&lt;&gt;"N/A"),"OVERDUE",IF(AND(E15="Gate",H15&lt;&gt;"Done",H15&lt;&gt;"N/A"),"Gate open",""))))</f>
        <v>Gate open</v>
      </c>
      <c r="K15" s="25" t="str">
        <f aca="false">IF(OR(J15="BLOCKED",J15="OVERDUE"),COUNTIF($J$9:J15,"BLOCKED")+COUNTIF($J$9:J15,"OVERDUE"),"")</f>
        <v/>
      </c>
    </row>
    <row r="16" customFormat="false" ht="39.75" hidden="false" customHeight="true" outlineLevel="0" collapsed="false">
      <c r="A16" s="19" t="s">
        <v>76</v>
      </c>
      <c r="B16" s="20" t="s">
        <v>54</v>
      </c>
      <c r="C16" s="20" t="s">
        <v>77</v>
      </c>
      <c r="D16" s="20" t="s">
        <v>78</v>
      </c>
      <c r="E16" s="21" t="s">
        <v>66</v>
      </c>
      <c r="F16" s="22"/>
      <c r="G16" s="23"/>
      <c r="H16" s="21"/>
      <c r="I16" s="22"/>
      <c r="J16" s="24" t="str">
        <f aca="true">IF(C16="","",IF(H16="Blocked","BLOCKED",IF(AND(ISNUMBER(G16),G16&lt;TODAY(),H16&lt;&gt;"Done",H16&lt;&gt;"N/A"),"OVERDUE",IF(AND(E16="Gate",H16&lt;&gt;"Done",H16&lt;&gt;"N/A"),"Gate open",""))))</f>
        <v/>
      </c>
      <c r="K16" s="25" t="str">
        <f aca="false">IF(OR(J16="BLOCKED",J16="OVERDUE"),COUNTIF($J$9:J16,"BLOCKED")+COUNTIF($J$9:J16,"OVERDUE"),"")</f>
        <v/>
      </c>
    </row>
    <row r="17" customFormat="false" ht="39.75" hidden="false" customHeight="true" outlineLevel="0" collapsed="false">
      <c r="A17" s="19" t="s">
        <v>79</v>
      </c>
      <c r="B17" s="20" t="s">
        <v>54</v>
      </c>
      <c r="C17" s="20" t="s">
        <v>80</v>
      </c>
      <c r="D17" s="20" t="s">
        <v>81</v>
      </c>
      <c r="E17" s="21" t="s">
        <v>66</v>
      </c>
      <c r="F17" s="22"/>
      <c r="G17" s="23"/>
      <c r="H17" s="21"/>
      <c r="I17" s="22"/>
      <c r="J17" s="24" t="str">
        <f aca="true">IF(C17="","",IF(H17="Blocked","BLOCKED",IF(AND(ISNUMBER(G17),G17&lt;TODAY(),H17&lt;&gt;"Done",H17&lt;&gt;"N/A"),"OVERDUE",IF(AND(E17="Gate",H17&lt;&gt;"Done",H17&lt;&gt;"N/A"),"Gate open",""))))</f>
        <v/>
      </c>
      <c r="K17" s="25" t="str">
        <f aca="false">IF(OR(J17="BLOCKED",J17="OVERDUE"),COUNTIF($J$9:J17,"BLOCKED")+COUNTIF($J$9:J17,"OVERDUE"),"")</f>
        <v/>
      </c>
    </row>
    <row r="18" customFormat="false" ht="39.75" hidden="false" customHeight="true" outlineLevel="0" collapsed="false">
      <c r="A18" s="19" t="s">
        <v>82</v>
      </c>
      <c r="B18" s="20" t="s">
        <v>54</v>
      </c>
      <c r="C18" s="20" t="s">
        <v>83</v>
      </c>
      <c r="D18" s="20" t="s">
        <v>84</v>
      </c>
      <c r="E18" s="21" t="s">
        <v>46</v>
      </c>
      <c r="F18" s="22"/>
      <c r="G18" s="23"/>
      <c r="H18" s="21"/>
      <c r="I18" s="22"/>
      <c r="J18" s="24" t="str">
        <f aca="true">IF(C18="","",IF(H18="Blocked","BLOCKED",IF(AND(ISNUMBER(G18),G18&lt;TODAY(),H18&lt;&gt;"Done",H18&lt;&gt;"N/A"),"OVERDUE",IF(AND(E18="Gate",H18&lt;&gt;"Done",H18&lt;&gt;"N/A"),"Gate open",""))))</f>
        <v>Gate open</v>
      </c>
      <c r="K18" s="25" t="str">
        <f aca="false">IF(OR(J18="BLOCKED",J18="OVERDUE"),COUNTIF($J$9:J18,"BLOCKED")+COUNTIF($J$9:J18,"OVERDUE"),"")</f>
        <v/>
      </c>
    </row>
    <row r="19" customFormat="false" ht="39.75" hidden="false" customHeight="true" outlineLevel="0" collapsed="false">
      <c r="A19" s="19" t="s">
        <v>85</v>
      </c>
      <c r="B19" s="20" t="s">
        <v>54</v>
      </c>
      <c r="C19" s="20" t="s">
        <v>86</v>
      </c>
      <c r="D19" s="20" t="s">
        <v>87</v>
      </c>
      <c r="E19" s="21" t="s">
        <v>46</v>
      </c>
      <c r="F19" s="22"/>
      <c r="G19" s="23"/>
      <c r="H19" s="21"/>
      <c r="I19" s="22"/>
      <c r="J19" s="24" t="str">
        <f aca="true">IF(C19="","",IF(H19="Blocked","BLOCKED",IF(AND(ISNUMBER(G19),G19&lt;TODAY(),H19&lt;&gt;"Done",H19&lt;&gt;"N/A"),"OVERDUE",IF(AND(E19="Gate",H19&lt;&gt;"Done",H19&lt;&gt;"N/A"),"Gate open",""))))</f>
        <v>Gate open</v>
      </c>
      <c r="K19" s="25" t="str">
        <f aca="false">IF(OR(J19="BLOCKED",J19="OVERDUE"),COUNTIF($J$9:J19,"BLOCKED")+COUNTIF($J$9:J19,"OVERDUE"),"")</f>
        <v/>
      </c>
    </row>
    <row r="20" customFormat="false" ht="39.75" hidden="false" customHeight="true" outlineLevel="0" collapsed="false">
      <c r="A20" s="19" t="s">
        <v>88</v>
      </c>
      <c r="B20" s="20" t="s">
        <v>54</v>
      </c>
      <c r="C20" s="20" t="s">
        <v>89</v>
      </c>
      <c r="D20" s="20" t="s">
        <v>90</v>
      </c>
      <c r="E20" s="21" t="s">
        <v>66</v>
      </c>
      <c r="F20" s="22"/>
      <c r="G20" s="23"/>
      <c r="H20" s="21"/>
      <c r="I20" s="22"/>
      <c r="J20" s="24" t="str">
        <f aca="true">IF(C20="","",IF(H20="Blocked","BLOCKED",IF(AND(ISNUMBER(G20),G20&lt;TODAY(),H20&lt;&gt;"Done",H20&lt;&gt;"N/A"),"OVERDUE",IF(AND(E20="Gate",H20&lt;&gt;"Done",H20&lt;&gt;"N/A"),"Gate open",""))))</f>
        <v/>
      </c>
      <c r="K20" s="25" t="str">
        <f aca="false">IF(OR(J20="BLOCKED",J20="OVERDUE"),COUNTIF($J$9:J20,"BLOCKED")+COUNTIF($J$9:J20,"OVERDUE"),"")</f>
        <v/>
      </c>
    </row>
    <row r="21" customFormat="false" ht="39.75" hidden="false" customHeight="true" outlineLevel="0" collapsed="false">
      <c r="A21" s="19" t="s">
        <v>91</v>
      </c>
      <c r="B21" s="20" t="s">
        <v>54</v>
      </c>
      <c r="C21" s="20" t="s">
        <v>92</v>
      </c>
      <c r="D21" s="20" t="s">
        <v>93</v>
      </c>
      <c r="E21" s="21" t="s">
        <v>66</v>
      </c>
      <c r="F21" s="22"/>
      <c r="G21" s="23"/>
      <c r="H21" s="21"/>
      <c r="I21" s="22"/>
      <c r="J21" s="24" t="str">
        <f aca="true">IF(C21="","",IF(H21="Blocked","BLOCKED",IF(AND(ISNUMBER(G21),G21&lt;TODAY(),H21&lt;&gt;"Done",H21&lt;&gt;"N/A"),"OVERDUE",IF(AND(E21="Gate",H21&lt;&gt;"Done",H21&lt;&gt;"N/A"),"Gate open",""))))</f>
        <v/>
      </c>
      <c r="K21" s="25" t="str">
        <f aca="false">IF(OR(J21="BLOCKED",J21="OVERDUE"),COUNTIF($J$9:J21,"BLOCKED")+COUNTIF($J$9:J21,"OVERDUE"),"")</f>
        <v/>
      </c>
    </row>
    <row r="22" customFormat="false" ht="39.75" hidden="false" customHeight="true" outlineLevel="0" collapsed="false">
      <c r="A22" s="19" t="s">
        <v>94</v>
      </c>
      <c r="B22" s="20" t="s">
        <v>95</v>
      </c>
      <c r="C22" s="20" t="s">
        <v>96</v>
      </c>
      <c r="D22" s="20" t="s">
        <v>97</v>
      </c>
      <c r="E22" s="21" t="s">
        <v>66</v>
      </c>
      <c r="F22" s="22"/>
      <c r="G22" s="23"/>
      <c r="H22" s="21"/>
      <c r="I22" s="22"/>
      <c r="J22" s="24" t="str">
        <f aca="true">IF(C22="","",IF(H22="Blocked","BLOCKED",IF(AND(ISNUMBER(G22),G22&lt;TODAY(),H22&lt;&gt;"Done",H22&lt;&gt;"N/A"),"OVERDUE",IF(AND(E22="Gate",H22&lt;&gt;"Done",H22&lt;&gt;"N/A"),"Gate open",""))))</f>
        <v/>
      </c>
      <c r="K22" s="25" t="str">
        <f aca="false">IF(OR(J22="BLOCKED",J22="OVERDUE"),COUNTIF($J$9:J22,"BLOCKED")+COUNTIF($J$9:J22,"OVERDUE"),"")</f>
        <v/>
      </c>
    </row>
    <row r="23" customFormat="false" ht="39.75" hidden="false" customHeight="true" outlineLevel="0" collapsed="false">
      <c r="A23" s="19" t="s">
        <v>98</v>
      </c>
      <c r="B23" s="20" t="s">
        <v>95</v>
      </c>
      <c r="C23" s="20" t="s">
        <v>99</v>
      </c>
      <c r="D23" s="20" t="s">
        <v>100</v>
      </c>
      <c r="E23" s="21" t="s">
        <v>66</v>
      </c>
      <c r="F23" s="22"/>
      <c r="G23" s="23"/>
      <c r="H23" s="21"/>
      <c r="I23" s="22"/>
      <c r="J23" s="24" t="str">
        <f aca="true">IF(C23="","",IF(H23="Blocked","BLOCKED",IF(AND(ISNUMBER(G23),G23&lt;TODAY(),H23&lt;&gt;"Done",H23&lt;&gt;"N/A"),"OVERDUE",IF(AND(E23="Gate",H23&lt;&gt;"Done",H23&lt;&gt;"N/A"),"Gate open",""))))</f>
        <v/>
      </c>
      <c r="K23" s="25" t="str">
        <f aca="false">IF(OR(J23="BLOCKED",J23="OVERDUE"),COUNTIF($J$9:J23,"BLOCKED")+COUNTIF($J$9:J23,"OVERDUE"),"")</f>
        <v/>
      </c>
    </row>
    <row r="24" customFormat="false" ht="39.75" hidden="false" customHeight="true" outlineLevel="0" collapsed="false">
      <c r="A24" s="19" t="s">
        <v>101</v>
      </c>
      <c r="B24" s="20" t="s">
        <v>95</v>
      </c>
      <c r="C24" s="20" t="s">
        <v>102</v>
      </c>
      <c r="D24" s="20" t="s">
        <v>103</v>
      </c>
      <c r="E24" s="21" t="s">
        <v>66</v>
      </c>
      <c r="F24" s="22"/>
      <c r="G24" s="23"/>
      <c r="H24" s="21"/>
      <c r="I24" s="22"/>
      <c r="J24" s="24" t="str">
        <f aca="true">IF(C24="","",IF(H24="Blocked","BLOCKED",IF(AND(ISNUMBER(G24),G24&lt;TODAY(),H24&lt;&gt;"Done",H24&lt;&gt;"N/A"),"OVERDUE",IF(AND(E24="Gate",H24&lt;&gt;"Done",H24&lt;&gt;"N/A"),"Gate open",""))))</f>
        <v/>
      </c>
      <c r="K24" s="25" t="str">
        <f aca="false">IF(OR(J24="BLOCKED",J24="OVERDUE"),COUNTIF($J$9:J24,"BLOCKED")+COUNTIF($J$9:J24,"OVERDUE"),"")</f>
        <v/>
      </c>
    </row>
    <row r="25" customFormat="false" ht="39.75" hidden="false" customHeight="true" outlineLevel="0" collapsed="false">
      <c r="A25" s="19" t="s">
        <v>104</v>
      </c>
      <c r="B25" s="20" t="s">
        <v>95</v>
      </c>
      <c r="C25" s="20" t="s">
        <v>105</v>
      </c>
      <c r="D25" s="20" t="s">
        <v>106</v>
      </c>
      <c r="E25" s="21" t="s">
        <v>66</v>
      </c>
      <c r="F25" s="22"/>
      <c r="G25" s="23"/>
      <c r="H25" s="21"/>
      <c r="I25" s="22"/>
      <c r="J25" s="24" t="str">
        <f aca="true">IF(C25="","",IF(H25="Blocked","BLOCKED",IF(AND(ISNUMBER(G25),G25&lt;TODAY(),H25&lt;&gt;"Done",H25&lt;&gt;"N/A"),"OVERDUE",IF(AND(E25="Gate",H25&lt;&gt;"Done",H25&lt;&gt;"N/A"),"Gate open",""))))</f>
        <v/>
      </c>
      <c r="K25" s="25" t="str">
        <f aca="false">IF(OR(J25="BLOCKED",J25="OVERDUE"),COUNTIF($J$9:J25,"BLOCKED")+COUNTIF($J$9:J25,"OVERDUE"),"")</f>
        <v/>
      </c>
    </row>
    <row r="26" customFormat="false" ht="39.75" hidden="false" customHeight="true" outlineLevel="0" collapsed="false">
      <c r="A26" s="19" t="s">
        <v>107</v>
      </c>
      <c r="B26" s="20" t="s">
        <v>95</v>
      </c>
      <c r="C26" s="20" t="s">
        <v>108</v>
      </c>
      <c r="D26" s="20" t="s">
        <v>109</v>
      </c>
      <c r="E26" s="21" t="s">
        <v>66</v>
      </c>
      <c r="F26" s="22"/>
      <c r="G26" s="23"/>
      <c r="H26" s="21"/>
      <c r="I26" s="22"/>
      <c r="J26" s="24" t="str">
        <f aca="true">IF(C26="","",IF(H26="Blocked","BLOCKED",IF(AND(ISNUMBER(G26),G26&lt;TODAY(),H26&lt;&gt;"Done",H26&lt;&gt;"N/A"),"OVERDUE",IF(AND(E26="Gate",H26&lt;&gt;"Done",H26&lt;&gt;"N/A"),"Gate open",""))))</f>
        <v/>
      </c>
      <c r="K26" s="25" t="str">
        <f aca="false">IF(OR(J26="BLOCKED",J26="OVERDUE"),COUNTIF($J$9:J26,"BLOCKED")+COUNTIF($J$9:J26,"OVERDUE"),"")</f>
        <v/>
      </c>
    </row>
    <row r="27" customFormat="false" ht="39.75" hidden="false" customHeight="true" outlineLevel="0" collapsed="false">
      <c r="A27" s="19" t="s">
        <v>110</v>
      </c>
      <c r="B27" s="20" t="s">
        <v>95</v>
      </c>
      <c r="C27" s="20" t="s">
        <v>111</v>
      </c>
      <c r="D27" s="20" t="s">
        <v>112</v>
      </c>
      <c r="E27" s="21" t="s">
        <v>46</v>
      </c>
      <c r="F27" s="22"/>
      <c r="G27" s="23"/>
      <c r="H27" s="21"/>
      <c r="I27" s="22"/>
      <c r="J27" s="24" t="str">
        <f aca="true">IF(C27="","",IF(H27="Blocked","BLOCKED",IF(AND(ISNUMBER(G27),G27&lt;TODAY(),H27&lt;&gt;"Done",H27&lt;&gt;"N/A"),"OVERDUE",IF(AND(E27="Gate",H27&lt;&gt;"Done",H27&lt;&gt;"N/A"),"Gate open",""))))</f>
        <v>Gate open</v>
      </c>
      <c r="K27" s="25" t="str">
        <f aca="false">IF(OR(J27="BLOCKED",J27="OVERDUE"),COUNTIF($J$9:J27,"BLOCKED")+COUNTIF($J$9:J27,"OVERDUE"),"")</f>
        <v/>
      </c>
    </row>
    <row r="28" customFormat="false" ht="39.75" hidden="false" customHeight="true" outlineLevel="0" collapsed="false">
      <c r="A28" s="19" t="s">
        <v>113</v>
      </c>
      <c r="B28" s="20" t="s">
        <v>95</v>
      </c>
      <c r="C28" s="20" t="s">
        <v>114</v>
      </c>
      <c r="D28" s="20" t="s">
        <v>115</v>
      </c>
      <c r="E28" s="21" t="s">
        <v>46</v>
      </c>
      <c r="F28" s="22"/>
      <c r="G28" s="23"/>
      <c r="H28" s="21"/>
      <c r="I28" s="22"/>
      <c r="J28" s="24" t="str">
        <f aca="true">IF(C28="","",IF(H28="Blocked","BLOCKED",IF(AND(ISNUMBER(G28),G28&lt;TODAY(),H28&lt;&gt;"Done",H28&lt;&gt;"N/A"),"OVERDUE",IF(AND(E28="Gate",H28&lt;&gt;"Done",H28&lt;&gt;"N/A"),"Gate open",""))))</f>
        <v>Gate open</v>
      </c>
      <c r="K28" s="25" t="str">
        <f aca="false">IF(OR(J28="BLOCKED",J28="OVERDUE"),COUNTIF($J$9:J28,"BLOCKED")+COUNTIF($J$9:J28,"OVERDUE"),"")</f>
        <v/>
      </c>
    </row>
    <row r="29" customFormat="false" ht="39.75" hidden="false" customHeight="true" outlineLevel="0" collapsed="false">
      <c r="A29" s="19" t="s">
        <v>116</v>
      </c>
      <c r="B29" s="20" t="s">
        <v>95</v>
      </c>
      <c r="C29" s="20" t="s">
        <v>117</v>
      </c>
      <c r="D29" s="20" t="s">
        <v>118</v>
      </c>
      <c r="E29" s="21" t="s">
        <v>46</v>
      </c>
      <c r="F29" s="22"/>
      <c r="G29" s="23"/>
      <c r="H29" s="21"/>
      <c r="I29" s="22"/>
      <c r="J29" s="24" t="str">
        <f aca="true">IF(C29="","",IF(H29="Blocked","BLOCKED",IF(AND(ISNUMBER(G29),G29&lt;TODAY(),H29&lt;&gt;"Done",H29&lt;&gt;"N/A"),"OVERDUE",IF(AND(E29="Gate",H29&lt;&gt;"Done",H29&lt;&gt;"N/A"),"Gate open",""))))</f>
        <v>Gate open</v>
      </c>
      <c r="K29" s="25" t="str">
        <f aca="false">IF(OR(J29="BLOCKED",J29="OVERDUE"),COUNTIF($J$9:J29,"BLOCKED")+COUNTIF($J$9:J29,"OVERDUE"),"")</f>
        <v/>
      </c>
    </row>
    <row r="30" customFormat="false" ht="39.75" hidden="false" customHeight="true" outlineLevel="0" collapsed="false">
      <c r="A30" s="19" t="s">
        <v>119</v>
      </c>
      <c r="B30" s="20" t="s">
        <v>95</v>
      </c>
      <c r="C30" s="20" t="s">
        <v>120</v>
      </c>
      <c r="D30" s="20" t="s">
        <v>121</v>
      </c>
      <c r="E30" s="21" t="s">
        <v>66</v>
      </c>
      <c r="F30" s="22"/>
      <c r="G30" s="23"/>
      <c r="H30" s="21"/>
      <c r="I30" s="22"/>
      <c r="J30" s="24" t="str">
        <f aca="true">IF(C30="","",IF(H30="Blocked","BLOCKED",IF(AND(ISNUMBER(G30),G30&lt;TODAY(),H30&lt;&gt;"Done",H30&lt;&gt;"N/A"),"OVERDUE",IF(AND(E30="Gate",H30&lt;&gt;"Done",H30&lt;&gt;"N/A"),"Gate open",""))))</f>
        <v/>
      </c>
      <c r="K30" s="25" t="str">
        <f aca="false">IF(OR(J30="BLOCKED",J30="OVERDUE"),COUNTIF($J$9:J30,"BLOCKED")+COUNTIF($J$9:J30,"OVERDUE"),"")</f>
        <v/>
      </c>
    </row>
    <row r="31" customFormat="false" ht="39.75" hidden="false" customHeight="true" outlineLevel="0" collapsed="false">
      <c r="A31" s="19" t="s">
        <v>122</v>
      </c>
      <c r="B31" s="20" t="s">
        <v>123</v>
      </c>
      <c r="C31" s="20" t="s">
        <v>124</v>
      </c>
      <c r="D31" s="20" t="s">
        <v>125</v>
      </c>
      <c r="E31" s="21" t="s">
        <v>66</v>
      </c>
      <c r="F31" s="22"/>
      <c r="G31" s="23"/>
      <c r="H31" s="21"/>
      <c r="I31" s="22"/>
      <c r="J31" s="24" t="str">
        <f aca="true">IF(C31="","",IF(H31="Blocked","BLOCKED",IF(AND(ISNUMBER(G31),G31&lt;TODAY(),H31&lt;&gt;"Done",H31&lt;&gt;"N/A"),"OVERDUE",IF(AND(E31="Gate",H31&lt;&gt;"Done",H31&lt;&gt;"N/A"),"Gate open",""))))</f>
        <v/>
      </c>
      <c r="K31" s="25" t="str">
        <f aca="false">IF(OR(J31="BLOCKED",J31="OVERDUE"),COUNTIF($J$9:J31,"BLOCKED")+COUNTIF($J$9:J31,"OVERDUE"),"")</f>
        <v/>
      </c>
    </row>
    <row r="32" customFormat="false" ht="39.75" hidden="false" customHeight="true" outlineLevel="0" collapsed="false">
      <c r="A32" s="19" t="s">
        <v>126</v>
      </c>
      <c r="B32" s="20" t="s">
        <v>123</v>
      </c>
      <c r="C32" s="20" t="s">
        <v>127</v>
      </c>
      <c r="D32" s="20" t="s">
        <v>128</v>
      </c>
      <c r="E32" s="21" t="s">
        <v>66</v>
      </c>
      <c r="F32" s="22"/>
      <c r="G32" s="23"/>
      <c r="H32" s="21"/>
      <c r="I32" s="22"/>
      <c r="J32" s="24" t="str">
        <f aca="true">IF(C32="","",IF(H32="Blocked","BLOCKED",IF(AND(ISNUMBER(G32),G32&lt;TODAY(),H32&lt;&gt;"Done",H32&lt;&gt;"N/A"),"OVERDUE",IF(AND(E32="Gate",H32&lt;&gt;"Done",H32&lt;&gt;"N/A"),"Gate open",""))))</f>
        <v/>
      </c>
      <c r="K32" s="25" t="str">
        <f aca="false">IF(OR(J32="BLOCKED",J32="OVERDUE"),COUNTIF($J$9:J32,"BLOCKED")+COUNTIF($J$9:J32,"OVERDUE"),"")</f>
        <v/>
      </c>
    </row>
    <row r="33" customFormat="false" ht="39.75" hidden="false" customHeight="true" outlineLevel="0" collapsed="false">
      <c r="A33" s="19" t="s">
        <v>129</v>
      </c>
      <c r="B33" s="20" t="s">
        <v>123</v>
      </c>
      <c r="C33" s="20" t="s">
        <v>130</v>
      </c>
      <c r="D33" s="20" t="s">
        <v>131</v>
      </c>
      <c r="E33" s="21" t="s">
        <v>66</v>
      </c>
      <c r="F33" s="22"/>
      <c r="G33" s="23"/>
      <c r="H33" s="21"/>
      <c r="I33" s="22"/>
      <c r="J33" s="24" t="str">
        <f aca="true">IF(C33="","",IF(H33="Blocked","BLOCKED",IF(AND(ISNUMBER(G33),G33&lt;TODAY(),H33&lt;&gt;"Done",H33&lt;&gt;"N/A"),"OVERDUE",IF(AND(E33="Gate",H33&lt;&gt;"Done",H33&lt;&gt;"N/A"),"Gate open",""))))</f>
        <v/>
      </c>
      <c r="K33" s="25" t="str">
        <f aca="false">IF(OR(J33="BLOCKED",J33="OVERDUE"),COUNTIF($J$9:J33,"BLOCKED")+COUNTIF($J$9:J33,"OVERDUE"),"")</f>
        <v/>
      </c>
    </row>
    <row r="34" customFormat="false" ht="39.75" hidden="false" customHeight="true" outlineLevel="0" collapsed="false">
      <c r="A34" s="19" t="s">
        <v>132</v>
      </c>
      <c r="B34" s="20" t="s">
        <v>123</v>
      </c>
      <c r="C34" s="20" t="s">
        <v>133</v>
      </c>
      <c r="D34" s="20" t="s">
        <v>134</v>
      </c>
      <c r="E34" s="21" t="s">
        <v>66</v>
      </c>
      <c r="F34" s="22"/>
      <c r="G34" s="23"/>
      <c r="H34" s="21"/>
      <c r="I34" s="22"/>
      <c r="J34" s="24" t="str">
        <f aca="true">IF(C34="","",IF(H34="Blocked","BLOCKED",IF(AND(ISNUMBER(G34),G34&lt;TODAY(),H34&lt;&gt;"Done",H34&lt;&gt;"N/A"),"OVERDUE",IF(AND(E34="Gate",H34&lt;&gt;"Done",H34&lt;&gt;"N/A"),"Gate open",""))))</f>
        <v/>
      </c>
      <c r="K34" s="25" t="str">
        <f aca="false">IF(OR(J34="BLOCKED",J34="OVERDUE"),COUNTIF($J$9:J34,"BLOCKED")+COUNTIF($J$9:J34,"OVERDUE"),"")</f>
        <v/>
      </c>
    </row>
    <row r="35" customFormat="false" ht="39.75" hidden="false" customHeight="true" outlineLevel="0" collapsed="false">
      <c r="A35" s="19" t="s">
        <v>135</v>
      </c>
      <c r="B35" s="20" t="s">
        <v>123</v>
      </c>
      <c r="C35" s="20" t="s">
        <v>136</v>
      </c>
      <c r="D35" s="20" t="s">
        <v>137</v>
      </c>
      <c r="E35" s="21" t="s">
        <v>66</v>
      </c>
      <c r="F35" s="22"/>
      <c r="G35" s="23"/>
      <c r="H35" s="21"/>
      <c r="I35" s="22"/>
      <c r="J35" s="24" t="str">
        <f aca="true">IF(C35="","",IF(H35="Blocked","BLOCKED",IF(AND(ISNUMBER(G35),G35&lt;TODAY(),H35&lt;&gt;"Done",H35&lt;&gt;"N/A"),"OVERDUE",IF(AND(E35="Gate",H35&lt;&gt;"Done",H35&lt;&gt;"N/A"),"Gate open",""))))</f>
        <v/>
      </c>
      <c r="K35" s="25" t="str">
        <f aca="false">IF(OR(J35="BLOCKED",J35="OVERDUE"),COUNTIF($J$9:J35,"BLOCKED")+COUNTIF($J$9:J35,"OVERDUE"),"")</f>
        <v/>
      </c>
    </row>
    <row r="36" customFormat="false" ht="39.75" hidden="false" customHeight="true" outlineLevel="0" collapsed="false">
      <c r="A36" s="19" t="s">
        <v>138</v>
      </c>
      <c r="B36" s="20" t="s">
        <v>123</v>
      </c>
      <c r="C36" s="20" t="s">
        <v>139</v>
      </c>
      <c r="D36" s="20" t="s">
        <v>140</v>
      </c>
      <c r="E36" s="21" t="s">
        <v>66</v>
      </c>
      <c r="F36" s="22"/>
      <c r="G36" s="23"/>
      <c r="H36" s="21"/>
      <c r="I36" s="22"/>
      <c r="J36" s="24" t="str">
        <f aca="true">IF(C36="","",IF(H36="Blocked","BLOCKED",IF(AND(ISNUMBER(G36),G36&lt;TODAY(),H36&lt;&gt;"Done",H36&lt;&gt;"N/A"),"OVERDUE",IF(AND(E36="Gate",H36&lt;&gt;"Done",H36&lt;&gt;"N/A"),"Gate open",""))))</f>
        <v/>
      </c>
      <c r="K36" s="25" t="str">
        <f aca="false">IF(OR(J36="BLOCKED",J36="OVERDUE"),COUNTIF($J$9:J36,"BLOCKED")+COUNTIF($J$9:J36,"OVERDUE"),"")</f>
        <v/>
      </c>
    </row>
    <row r="37" customFormat="false" ht="39.75" hidden="false" customHeight="true" outlineLevel="0" collapsed="false">
      <c r="A37" s="19" t="s">
        <v>141</v>
      </c>
      <c r="B37" s="20" t="s">
        <v>123</v>
      </c>
      <c r="C37" s="20" t="s">
        <v>142</v>
      </c>
      <c r="D37" s="20" t="s">
        <v>143</v>
      </c>
      <c r="E37" s="21" t="s">
        <v>66</v>
      </c>
      <c r="F37" s="22"/>
      <c r="G37" s="23"/>
      <c r="H37" s="21"/>
      <c r="I37" s="22"/>
      <c r="J37" s="24" t="str">
        <f aca="true">IF(C37="","",IF(H37="Blocked","BLOCKED",IF(AND(ISNUMBER(G37),G37&lt;TODAY(),H37&lt;&gt;"Done",H37&lt;&gt;"N/A"),"OVERDUE",IF(AND(E37="Gate",H37&lt;&gt;"Done",H37&lt;&gt;"N/A"),"Gate open",""))))</f>
        <v/>
      </c>
      <c r="K37" s="25" t="str">
        <f aca="false">IF(OR(J37="BLOCKED",J37="OVERDUE"),COUNTIF($J$9:J37,"BLOCKED")+COUNTIF($J$9:J37,"OVERDUE"),"")</f>
        <v/>
      </c>
    </row>
    <row r="38" customFormat="false" ht="39.75" hidden="false" customHeight="true" outlineLevel="0" collapsed="false">
      <c r="A38" s="19" t="s">
        <v>144</v>
      </c>
      <c r="B38" s="20" t="s">
        <v>145</v>
      </c>
      <c r="C38" s="20" t="s">
        <v>146</v>
      </c>
      <c r="D38" s="20" t="s">
        <v>147</v>
      </c>
      <c r="E38" s="21" t="s">
        <v>46</v>
      </c>
      <c r="F38" s="22"/>
      <c r="G38" s="23"/>
      <c r="H38" s="21"/>
      <c r="I38" s="22"/>
      <c r="J38" s="24" t="str">
        <f aca="true">IF(C38="","",IF(H38="Blocked","BLOCKED",IF(AND(ISNUMBER(G38),G38&lt;TODAY(),H38&lt;&gt;"Done",H38&lt;&gt;"N/A"),"OVERDUE",IF(AND(E38="Gate",H38&lt;&gt;"Done",H38&lt;&gt;"N/A"),"Gate open",""))))</f>
        <v>Gate open</v>
      </c>
      <c r="K38" s="25" t="str">
        <f aca="false">IF(OR(J38="BLOCKED",J38="OVERDUE"),COUNTIF($J$9:J38,"BLOCKED")+COUNTIF($J$9:J38,"OVERDUE"),"")</f>
        <v/>
      </c>
    </row>
    <row r="39" customFormat="false" ht="39.75" hidden="false" customHeight="true" outlineLevel="0" collapsed="false">
      <c r="A39" s="19" t="s">
        <v>148</v>
      </c>
      <c r="B39" s="20" t="s">
        <v>145</v>
      </c>
      <c r="C39" s="20" t="s">
        <v>149</v>
      </c>
      <c r="D39" s="20" t="s">
        <v>150</v>
      </c>
      <c r="E39" s="21" t="s">
        <v>46</v>
      </c>
      <c r="F39" s="22"/>
      <c r="G39" s="23"/>
      <c r="H39" s="21"/>
      <c r="I39" s="22"/>
      <c r="J39" s="24" t="str">
        <f aca="true">IF(C39="","",IF(H39="Blocked","BLOCKED",IF(AND(ISNUMBER(G39),G39&lt;TODAY(),H39&lt;&gt;"Done",H39&lt;&gt;"N/A"),"OVERDUE",IF(AND(E39="Gate",H39&lt;&gt;"Done",H39&lt;&gt;"N/A"),"Gate open",""))))</f>
        <v>Gate open</v>
      </c>
      <c r="K39" s="25" t="str">
        <f aca="false">IF(OR(J39="BLOCKED",J39="OVERDUE"),COUNTIF($J$9:J39,"BLOCKED")+COUNTIF($J$9:J39,"OVERDUE"),"")</f>
        <v/>
      </c>
    </row>
    <row r="40" customFormat="false" ht="39.75" hidden="false" customHeight="true" outlineLevel="0" collapsed="false">
      <c r="A40" s="19" t="s">
        <v>151</v>
      </c>
      <c r="B40" s="20" t="s">
        <v>145</v>
      </c>
      <c r="C40" s="20" t="s">
        <v>152</v>
      </c>
      <c r="D40" s="20" t="s">
        <v>153</v>
      </c>
      <c r="E40" s="21" t="s">
        <v>46</v>
      </c>
      <c r="F40" s="22"/>
      <c r="G40" s="23"/>
      <c r="H40" s="21"/>
      <c r="I40" s="22"/>
      <c r="J40" s="24" t="str">
        <f aca="true">IF(C40="","",IF(H40="Blocked","BLOCKED",IF(AND(ISNUMBER(G40),G40&lt;TODAY(),H40&lt;&gt;"Done",H40&lt;&gt;"N/A"),"OVERDUE",IF(AND(E40="Gate",H40&lt;&gt;"Done",H40&lt;&gt;"N/A"),"Gate open",""))))</f>
        <v>Gate open</v>
      </c>
      <c r="K40" s="25" t="str">
        <f aca="false">IF(OR(J40="BLOCKED",J40="OVERDUE"),COUNTIF($J$9:J40,"BLOCKED")+COUNTIF($J$9:J40,"OVERDUE"),"")</f>
        <v/>
      </c>
    </row>
    <row r="41" customFormat="false" ht="39.75" hidden="false" customHeight="true" outlineLevel="0" collapsed="false">
      <c r="A41" s="19" t="s">
        <v>154</v>
      </c>
      <c r="B41" s="20" t="s">
        <v>145</v>
      </c>
      <c r="C41" s="20" t="s">
        <v>155</v>
      </c>
      <c r="D41" s="20" t="s">
        <v>156</v>
      </c>
      <c r="E41" s="21" t="s">
        <v>66</v>
      </c>
      <c r="F41" s="22"/>
      <c r="G41" s="23"/>
      <c r="H41" s="21"/>
      <c r="I41" s="22"/>
      <c r="J41" s="24" t="str">
        <f aca="true">IF(C41="","",IF(H41="Blocked","BLOCKED",IF(AND(ISNUMBER(G41),G41&lt;TODAY(),H41&lt;&gt;"Done",H41&lt;&gt;"N/A"),"OVERDUE",IF(AND(E41="Gate",H41&lt;&gt;"Done",H41&lt;&gt;"N/A"),"Gate open",""))))</f>
        <v/>
      </c>
      <c r="K41" s="25" t="str">
        <f aca="false">IF(OR(J41="BLOCKED",J41="OVERDUE"),COUNTIF($J$9:J41,"BLOCKED")+COUNTIF($J$9:J41,"OVERDUE"),"")</f>
        <v/>
      </c>
    </row>
    <row r="42" customFormat="false" ht="39.75" hidden="false" customHeight="true" outlineLevel="0" collapsed="false">
      <c r="A42" s="19" t="s">
        <v>157</v>
      </c>
      <c r="B42" s="20" t="s">
        <v>145</v>
      </c>
      <c r="C42" s="20" t="s">
        <v>158</v>
      </c>
      <c r="D42" s="20" t="s">
        <v>159</v>
      </c>
      <c r="E42" s="21" t="s">
        <v>46</v>
      </c>
      <c r="F42" s="22"/>
      <c r="G42" s="23"/>
      <c r="H42" s="21"/>
      <c r="I42" s="22"/>
      <c r="J42" s="24" t="str">
        <f aca="true">IF(C42="","",IF(H42="Blocked","BLOCKED",IF(AND(ISNUMBER(G42),G42&lt;TODAY(),H42&lt;&gt;"Done",H42&lt;&gt;"N/A"),"OVERDUE",IF(AND(E42="Gate",H42&lt;&gt;"Done",H42&lt;&gt;"N/A"),"Gate open",""))))</f>
        <v>Gate open</v>
      </c>
      <c r="K42" s="25" t="str">
        <f aca="false">IF(OR(J42="BLOCKED",J42="OVERDUE"),COUNTIF($J$9:J42,"BLOCKED")+COUNTIF($J$9:J42,"OVERDUE"),"")</f>
        <v/>
      </c>
    </row>
    <row r="43" customFormat="false" ht="39.75" hidden="false" customHeight="true" outlineLevel="0" collapsed="false">
      <c r="A43" s="19" t="s">
        <v>160</v>
      </c>
      <c r="B43" s="20" t="s">
        <v>145</v>
      </c>
      <c r="C43" s="20" t="s">
        <v>161</v>
      </c>
      <c r="D43" s="20" t="s">
        <v>162</v>
      </c>
      <c r="E43" s="21" t="s">
        <v>46</v>
      </c>
      <c r="F43" s="22"/>
      <c r="G43" s="23"/>
      <c r="H43" s="21"/>
      <c r="I43" s="22"/>
      <c r="J43" s="24" t="str">
        <f aca="true">IF(C43="","",IF(H43="Blocked","BLOCKED",IF(AND(ISNUMBER(G43),G43&lt;TODAY(),H43&lt;&gt;"Done",H43&lt;&gt;"N/A"),"OVERDUE",IF(AND(E43="Gate",H43&lt;&gt;"Done",H43&lt;&gt;"N/A"),"Gate open",""))))</f>
        <v>Gate open</v>
      </c>
      <c r="K43" s="25" t="str">
        <f aca="false">IF(OR(J43="BLOCKED",J43="OVERDUE"),COUNTIF($J$9:J43,"BLOCKED")+COUNTIF($J$9:J43,"OVERDUE"),"")</f>
        <v/>
      </c>
    </row>
    <row r="44" customFormat="false" ht="39.75" hidden="false" customHeight="true" outlineLevel="0" collapsed="false">
      <c r="A44" s="19" t="s">
        <v>163</v>
      </c>
      <c r="B44" s="20" t="s">
        <v>145</v>
      </c>
      <c r="C44" s="20" t="s">
        <v>164</v>
      </c>
      <c r="D44" s="20" t="s">
        <v>165</v>
      </c>
      <c r="E44" s="21" t="s">
        <v>46</v>
      </c>
      <c r="F44" s="22"/>
      <c r="G44" s="23"/>
      <c r="H44" s="21"/>
      <c r="I44" s="22"/>
      <c r="J44" s="24" t="str">
        <f aca="true">IF(C44="","",IF(H44="Blocked","BLOCKED",IF(AND(ISNUMBER(G44),G44&lt;TODAY(),H44&lt;&gt;"Done",H44&lt;&gt;"N/A"),"OVERDUE",IF(AND(E44="Gate",H44&lt;&gt;"Done",H44&lt;&gt;"N/A"),"Gate open",""))))</f>
        <v>Gate open</v>
      </c>
      <c r="K44" s="25" t="str">
        <f aca="false">IF(OR(J44="BLOCKED",J44="OVERDUE"),COUNTIF($J$9:J44,"BLOCKED")+COUNTIF($J$9:J44,"OVERDUE"),"")</f>
        <v/>
      </c>
    </row>
    <row r="45" customFormat="false" ht="39.75" hidden="false" customHeight="true" outlineLevel="0" collapsed="false">
      <c r="A45" s="19" t="s">
        <v>166</v>
      </c>
      <c r="B45" s="20" t="s">
        <v>167</v>
      </c>
      <c r="C45" s="20" t="s">
        <v>168</v>
      </c>
      <c r="D45" s="20" t="s">
        <v>169</v>
      </c>
      <c r="E45" s="21" t="s">
        <v>66</v>
      </c>
      <c r="F45" s="22"/>
      <c r="G45" s="23"/>
      <c r="H45" s="21"/>
      <c r="I45" s="22"/>
      <c r="J45" s="24" t="str">
        <f aca="true">IF(C45="","",IF(H45="Blocked","BLOCKED",IF(AND(ISNUMBER(G45),G45&lt;TODAY(),H45&lt;&gt;"Done",H45&lt;&gt;"N/A"),"OVERDUE",IF(AND(E45="Gate",H45&lt;&gt;"Done",H45&lt;&gt;"N/A"),"Gate open",""))))</f>
        <v/>
      </c>
      <c r="K45" s="25" t="str">
        <f aca="false">IF(OR(J45="BLOCKED",J45="OVERDUE"),COUNTIF($J$9:J45,"BLOCKED")+COUNTIF($J$9:J45,"OVERDUE"),"")</f>
        <v/>
      </c>
    </row>
    <row r="46" customFormat="false" ht="39.75" hidden="false" customHeight="true" outlineLevel="0" collapsed="false">
      <c r="A46" s="19" t="s">
        <v>170</v>
      </c>
      <c r="B46" s="20" t="s">
        <v>167</v>
      </c>
      <c r="C46" s="20" t="s">
        <v>171</v>
      </c>
      <c r="D46" s="20" t="s">
        <v>172</v>
      </c>
      <c r="E46" s="21" t="s">
        <v>66</v>
      </c>
      <c r="F46" s="22"/>
      <c r="G46" s="23"/>
      <c r="H46" s="21"/>
      <c r="I46" s="22"/>
      <c r="J46" s="24" t="str">
        <f aca="true">IF(C46="","",IF(H46="Blocked","BLOCKED",IF(AND(ISNUMBER(G46),G46&lt;TODAY(),H46&lt;&gt;"Done",H46&lt;&gt;"N/A"),"OVERDUE",IF(AND(E46="Gate",H46&lt;&gt;"Done",H46&lt;&gt;"N/A"),"Gate open",""))))</f>
        <v/>
      </c>
      <c r="K46" s="25" t="str">
        <f aca="false">IF(OR(J46="BLOCKED",J46="OVERDUE"),COUNTIF($J$9:J46,"BLOCKED")+COUNTIF($J$9:J46,"OVERDUE"),"")</f>
        <v/>
      </c>
    </row>
    <row r="47" customFormat="false" ht="39.75" hidden="false" customHeight="true" outlineLevel="0" collapsed="false">
      <c r="A47" s="19" t="s">
        <v>173</v>
      </c>
      <c r="B47" s="20" t="s">
        <v>167</v>
      </c>
      <c r="C47" s="20" t="s">
        <v>174</v>
      </c>
      <c r="D47" s="20" t="s">
        <v>175</v>
      </c>
      <c r="E47" s="21" t="s">
        <v>66</v>
      </c>
      <c r="F47" s="22"/>
      <c r="G47" s="23"/>
      <c r="H47" s="21"/>
      <c r="I47" s="22"/>
      <c r="J47" s="24" t="str">
        <f aca="true">IF(C47="","",IF(H47="Blocked","BLOCKED",IF(AND(ISNUMBER(G47),G47&lt;TODAY(),H47&lt;&gt;"Done",H47&lt;&gt;"N/A"),"OVERDUE",IF(AND(E47="Gate",H47&lt;&gt;"Done",H47&lt;&gt;"N/A"),"Gate open",""))))</f>
        <v/>
      </c>
      <c r="K47" s="25" t="str">
        <f aca="false">IF(OR(J47="BLOCKED",J47="OVERDUE"),COUNTIF($J$9:J47,"BLOCKED")+COUNTIF($J$9:J47,"OVERDUE"),"")</f>
        <v/>
      </c>
    </row>
    <row r="48" customFormat="false" ht="39.75" hidden="false" customHeight="true" outlineLevel="0" collapsed="false">
      <c r="A48" s="19" t="s">
        <v>176</v>
      </c>
      <c r="B48" s="20" t="s">
        <v>167</v>
      </c>
      <c r="C48" s="20" t="s">
        <v>177</v>
      </c>
      <c r="D48" s="20" t="s">
        <v>178</v>
      </c>
      <c r="E48" s="21" t="s">
        <v>66</v>
      </c>
      <c r="F48" s="22"/>
      <c r="G48" s="23"/>
      <c r="H48" s="21"/>
      <c r="I48" s="22"/>
      <c r="J48" s="24" t="str">
        <f aca="true">IF(C48="","",IF(H48="Blocked","BLOCKED",IF(AND(ISNUMBER(G48),G48&lt;TODAY(),H48&lt;&gt;"Done",H48&lt;&gt;"N/A"),"OVERDUE",IF(AND(E48="Gate",H48&lt;&gt;"Done",H48&lt;&gt;"N/A"),"Gate open",""))))</f>
        <v/>
      </c>
      <c r="K48" s="25" t="str">
        <f aca="false">IF(OR(J48="BLOCKED",J48="OVERDUE"),COUNTIF($J$9:J48,"BLOCKED")+COUNTIF($J$9:J48,"OVERDUE"),"")</f>
        <v/>
      </c>
    </row>
    <row r="49" customFormat="false" ht="39.75" hidden="false" customHeight="true" outlineLevel="0" collapsed="false">
      <c r="A49" s="19" t="s">
        <v>179</v>
      </c>
      <c r="B49" s="20" t="s">
        <v>167</v>
      </c>
      <c r="C49" s="20" t="s">
        <v>180</v>
      </c>
      <c r="D49" s="20" t="s">
        <v>181</v>
      </c>
      <c r="E49" s="21" t="s">
        <v>66</v>
      </c>
      <c r="F49" s="22"/>
      <c r="G49" s="23"/>
      <c r="H49" s="21"/>
      <c r="I49" s="22"/>
      <c r="J49" s="24" t="str">
        <f aca="true">IF(C49="","",IF(H49="Blocked","BLOCKED",IF(AND(ISNUMBER(G49),G49&lt;TODAY(),H49&lt;&gt;"Done",H49&lt;&gt;"N/A"),"OVERDUE",IF(AND(E49="Gate",H49&lt;&gt;"Done",H49&lt;&gt;"N/A"),"Gate open",""))))</f>
        <v/>
      </c>
      <c r="K49" s="25" t="str">
        <f aca="false">IF(OR(J49="BLOCKED",J49="OVERDUE"),COUNTIF($J$9:J49,"BLOCKED")+COUNTIF($J$9:J49,"OVERDUE"),"")</f>
        <v/>
      </c>
    </row>
    <row r="50" customFormat="false" ht="39.75" hidden="false" customHeight="true" outlineLevel="0" collapsed="false">
      <c r="A50" s="19" t="s">
        <v>182</v>
      </c>
      <c r="B50" s="20" t="s">
        <v>167</v>
      </c>
      <c r="C50" s="20" t="s">
        <v>183</v>
      </c>
      <c r="D50" s="20" t="s">
        <v>184</v>
      </c>
      <c r="E50" s="21" t="s">
        <v>66</v>
      </c>
      <c r="F50" s="22"/>
      <c r="G50" s="23"/>
      <c r="H50" s="21"/>
      <c r="I50" s="22"/>
      <c r="J50" s="24" t="str">
        <f aca="true">IF(C50="","",IF(H50="Blocked","BLOCKED",IF(AND(ISNUMBER(G50),G50&lt;TODAY(),H50&lt;&gt;"Done",H50&lt;&gt;"N/A"),"OVERDUE",IF(AND(E50="Gate",H50&lt;&gt;"Done",H50&lt;&gt;"N/A"),"Gate open",""))))</f>
        <v/>
      </c>
      <c r="K50" s="25" t="str">
        <f aca="false">IF(OR(J50="BLOCKED",J50="OVERDUE"),COUNTIF($J$9:J50,"BLOCKED")+COUNTIF($J$9:J50,"OVERDUE"),"")</f>
        <v/>
      </c>
    </row>
    <row r="51" customFormat="false" ht="39.75" hidden="false" customHeight="true" outlineLevel="0" collapsed="false">
      <c r="A51" s="19" t="s">
        <v>185</v>
      </c>
      <c r="B51" s="20" t="s">
        <v>167</v>
      </c>
      <c r="C51" s="20" t="s">
        <v>186</v>
      </c>
      <c r="D51" s="20" t="s">
        <v>187</v>
      </c>
      <c r="E51" s="21" t="s">
        <v>66</v>
      </c>
      <c r="F51" s="22"/>
      <c r="G51" s="23"/>
      <c r="H51" s="21"/>
      <c r="I51" s="22"/>
      <c r="J51" s="24" t="str">
        <f aca="true">IF(C51="","",IF(H51="Blocked","BLOCKED",IF(AND(ISNUMBER(G51),G51&lt;TODAY(),H51&lt;&gt;"Done",H51&lt;&gt;"N/A"),"OVERDUE",IF(AND(E51="Gate",H51&lt;&gt;"Done",H51&lt;&gt;"N/A"),"Gate open",""))))</f>
        <v/>
      </c>
      <c r="K51" s="25" t="str">
        <f aca="false">IF(OR(J51="BLOCKED",J51="OVERDUE"),COUNTIF($J$9:J51,"BLOCKED")+COUNTIF($J$9:J51,"OVERDUE"),"")</f>
        <v/>
      </c>
    </row>
  </sheetData>
  <autoFilter ref="A8:J51"/>
  <mergeCells count="6">
    <mergeCell ref="C4:D4"/>
    <mergeCell ref="G4:I4"/>
    <mergeCell ref="C5:D5"/>
    <mergeCell ref="G5:I5"/>
    <mergeCell ref="C6:D6"/>
    <mergeCell ref="G6:I6"/>
  </mergeCells>
  <conditionalFormatting sqref="J9:J111">
    <cfRule type="expression" priority="2" aboveAverage="0" equalAverage="0" bottom="0" percent="0" rank="0" text="" dxfId="7">
      <formula>OR(J9="BLOCKED",J9="OVERDUE")</formula>
    </cfRule>
    <cfRule type="expression" priority="3" aboveAverage="0" equalAverage="0" bottom="0" percent="0" rank="0" text="" dxfId="8">
      <formula>J9="Gate open"</formula>
    </cfRule>
  </conditionalFormatting>
  <conditionalFormatting sqref="H9:H111">
    <cfRule type="expression" priority="4" aboveAverage="0" equalAverage="0" bottom="0" percent="0" rank="0" text="" dxfId="9">
      <formula>H9="Done"</formula>
    </cfRule>
  </conditionalFormatting>
  <dataValidations count="4">
    <dataValidation allowBlank="true" error="Enter a valid date (after 01/01/2000)." errorStyle="stop" errorTitle="Date required" operator="greaterThan" showDropDown="false" showErrorMessage="true" showInputMessage="false" sqref="G4 G6 G9:G111" type="date">
      <formula1>36526</formula1>
      <formula2>0</formula2>
    </dataValidation>
    <dataValidation allowBlank="true" error="Please choose a value from the drop-down list." errorStyle="stop" errorTitle="Invalid entry" operator="between" prompt="Not started · In progress · Done · Blocked · N/A" promptTitle="Status" showDropDown="false" showErrorMessage="true" showInputMessage="true" sqref="H9:H111" type="list">
      <formula1>Lists!$A$2:$A$6</formula1>
      <formula2>0</formula2>
    </dataValidation>
    <dataValidation allowBlank="true" error="Please choose a value from the drop-down list." errorStyle="stop" errorTitle="Invalid entry" operator="between" showDropDown="false" showErrorMessage="true" showInputMessage="false" sqref="E9:E111" type="list">
      <formula1>Lists!$B$2:$B$3</formula1>
      <formula2>0</formula2>
    </dataValidation>
    <dataValidation allowBlank="true" error="Please choose a value from the drop-down list." errorStyle="stop" errorTitle="Invalid entry" operator="between" showDropDown="false" showErrorMessage="true" showInputMessage="false" sqref="B9:B111" type="list">
      <formula1>Lists!$C$2:$C$6</formula1>
      <formula2>0</formula2>
    </dataValidation>
  </dataValidations>
  <printOptions headings="false" gridLines="false" gridLinesSet="true" horizontalCentered="false" verticalCentered="false"/>
  <pageMargins left="0.75" right="0.75" top="1" bottom="0.6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This resource is provided under the dataintelligenceinsights.com Standard Use Licence v1.0. © dataintelligenceinsights.com. All rights reserved.&amp;R&amp;7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2"/>
    <col collapsed="false" customWidth="true" hidden="false" outlineLevel="0" max="9" min="9" style="0" width="14"/>
    <col collapsed="false" customWidth="true" hidden="false" outlineLevel="0" max="10" min="10" style="0" width="2"/>
  </cols>
  <sheetData>
    <row r="1" customFormat="false" ht="17.35" hidden="false" customHeight="false" outlineLevel="0" collapsed="false">
      <c r="A1" s="13" t="s">
        <v>188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6" t="str">
        <f aca="false">IF(Checklist!C4="","Migration: (name not yet entered on Checklist)","Migration: "&amp;Checklist!C4)</f>
        <v>Migration: (name not yet entered on Checklist)</v>
      </c>
      <c r="B2" s="1"/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8" hidden="false" customHeight="true" outlineLevel="0" collapsed="false">
      <c r="A4" s="27" t="s">
        <v>189</v>
      </c>
      <c r="B4" s="28"/>
      <c r="C4" s="28"/>
      <c r="D4" s="28"/>
      <c r="E4" s="28"/>
      <c r="F4" s="28"/>
      <c r="G4" s="28"/>
      <c r="H4" s="28"/>
      <c r="I4" s="28"/>
    </row>
    <row r="5" customFormat="false" ht="30" hidden="false" customHeight="true" outlineLevel="0" collapsed="false">
      <c r="A5" s="18" t="s">
        <v>43</v>
      </c>
      <c r="B5" s="18" t="s">
        <v>190</v>
      </c>
      <c r="C5" s="18" t="s">
        <v>191</v>
      </c>
      <c r="D5" s="18" t="s">
        <v>192</v>
      </c>
      <c r="E5" s="18" t="s">
        <v>193</v>
      </c>
      <c r="F5" s="18" t="s">
        <v>194</v>
      </c>
      <c r="G5" s="18" t="s">
        <v>195</v>
      </c>
      <c r="H5" s="18" t="s">
        <v>196</v>
      </c>
      <c r="I5" s="18" t="s">
        <v>197</v>
      </c>
    </row>
    <row r="6" customFormat="false" ht="15" hidden="false" customHeight="false" outlineLevel="0" collapsed="false">
      <c r="A6" s="20" t="s">
        <v>54</v>
      </c>
      <c r="B6" s="29" t="n">
        <f aca="false">COUNTIFS(Checklist!$C$9:$C$111,"&lt;&gt;",Checklist!$B$9:$B$111,$A6)</f>
        <v>13</v>
      </c>
      <c r="C6" s="29" t="n">
        <f aca="false">B6-COUNTIFS(Checklist!$C$9:$C$111,"&lt;&gt;",Checklist!$B$9:$B$111,$A6,Checklist!$H$9:$H$111,"N/A")</f>
        <v>13</v>
      </c>
      <c r="D6" s="29" t="n">
        <f aca="false">COUNTIFS(Checklist!$C$9:$C$111,"&lt;&gt;",Checklist!$B$9:$B$111,$A6,Checklist!$H$9:$H$111,"Done")</f>
        <v>0</v>
      </c>
      <c r="E6" s="29" t="n">
        <f aca="false">COUNTIFS(Checklist!$C$9:$C$111,"&lt;&gt;",Checklist!$B$9:$B$111,$A6,Checklist!$H$9:$H$111,"In progress")</f>
        <v>0</v>
      </c>
      <c r="F6" s="29" t="n">
        <f aca="false">COUNTIFS(Checklist!$C$9:$C$111,"&lt;&gt;",Checklist!$B$9:$B$111,$A6,Checklist!$H$9:$H$111,"Blocked")</f>
        <v>0</v>
      </c>
      <c r="G6" s="29" t="n">
        <f aca="false">C6-D6-E6-F6</f>
        <v>13</v>
      </c>
      <c r="H6" s="29" t="n">
        <f aca="false">COUNTIFS(Checklist!$C$9:$C$111,"&lt;&gt;",Checklist!$B$9:$B$111,$A6,Checklist!$J$9:$J$111,"OVERDUE")</f>
        <v>0</v>
      </c>
      <c r="I6" s="30" t="n">
        <f aca="false">IF(C6=0,"n/a",D6/C6)</f>
        <v>0</v>
      </c>
    </row>
    <row r="7" customFormat="false" ht="15" hidden="false" customHeight="false" outlineLevel="0" collapsed="false">
      <c r="A7" s="20" t="s">
        <v>95</v>
      </c>
      <c r="B7" s="29" t="n">
        <f aca="false">COUNTIFS(Checklist!$C$9:$C$111,"&lt;&gt;",Checklist!$B$9:$B$111,$A7)</f>
        <v>9</v>
      </c>
      <c r="C7" s="29" t="n">
        <f aca="false">B7-COUNTIFS(Checklist!$C$9:$C$111,"&lt;&gt;",Checklist!$B$9:$B$111,$A7,Checklist!$H$9:$H$111,"N/A")</f>
        <v>9</v>
      </c>
      <c r="D7" s="29" t="n">
        <f aca="false">COUNTIFS(Checklist!$C$9:$C$111,"&lt;&gt;",Checklist!$B$9:$B$111,$A7,Checklist!$H$9:$H$111,"Done")</f>
        <v>0</v>
      </c>
      <c r="E7" s="29" t="n">
        <f aca="false">COUNTIFS(Checklist!$C$9:$C$111,"&lt;&gt;",Checklist!$B$9:$B$111,$A7,Checklist!$H$9:$H$111,"In progress")</f>
        <v>0</v>
      </c>
      <c r="F7" s="29" t="n">
        <f aca="false">COUNTIFS(Checklist!$C$9:$C$111,"&lt;&gt;",Checklist!$B$9:$B$111,$A7,Checklist!$H$9:$H$111,"Blocked")</f>
        <v>0</v>
      </c>
      <c r="G7" s="29" t="n">
        <f aca="false">C7-D7-E7-F7</f>
        <v>9</v>
      </c>
      <c r="H7" s="29" t="n">
        <f aca="false">COUNTIFS(Checklist!$C$9:$C$111,"&lt;&gt;",Checklist!$B$9:$B$111,$A7,Checklist!$J$9:$J$111,"OVERDUE")</f>
        <v>0</v>
      </c>
      <c r="I7" s="30" t="n">
        <f aca="false">IF(C7=0,"n/a",D7/C7)</f>
        <v>0</v>
      </c>
    </row>
    <row r="8" customFormat="false" ht="15" hidden="false" customHeight="false" outlineLevel="0" collapsed="false">
      <c r="A8" s="20" t="s">
        <v>123</v>
      </c>
      <c r="B8" s="29" t="n">
        <f aca="false">COUNTIFS(Checklist!$C$9:$C$111,"&lt;&gt;",Checklist!$B$9:$B$111,$A8)</f>
        <v>7</v>
      </c>
      <c r="C8" s="29" t="n">
        <f aca="false">B8-COUNTIFS(Checklist!$C$9:$C$111,"&lt;&gt;",Checklist!$B$9:$B$111,$A8,Checklist!$H$9:$H$111,"N/A")</f>
        <v>7</v>
      </c>
      <c r="D8" s="29" t="n">
        <f aca="false">COUNTIFS(Checklist!$C$9:$C$111,"&lt;&gt;",Checklist!$B$9:$B$111,$A8,Checklist!$H$9:$H$111,"Done")</f>
        <v>0</v>
      </c>
      <c r="E8" s="29" t="n">
        <f aca="false">COUNTIFS(Checklist!$C$9:$C$111,"&lt;&gt;",Checklist!$B$9:$B$111,$A8,Checklist!$H$9:$H$111,"In progress")</f>
        <v>0</v>
      </c>
      <c r="F8" s="29" t="n">
        <f aca="false">COUNTIFS(Checklist!$C$9:$C$111,"&lt;&gt;",Checklist!$B$9:$B$111,$A8,Checklist!$H$9:$H$111,"Blocked")</f>
        <v>0</v>
      </c>
      <c r="G8" s="29" t="n">
        <f aca="false">C8-D8-E8-F8</f>
        <v>7</v>
      </c>
      <c r="H8" s="29" t="n">
        <f aca="false">COUNTIFS(Checklist!$C$9:$C$111,"&lt;&gt;",Checklist!$B$9:$B$111,$A8,Checklist!$J$9:$J$111,"OVERDUE")</f>
        <v>0</v>
      </c>
      <c r="I8" s="30" t="n">
        <f aca="false">IF(C8=0,"n/a",D8/C8)</f>
        <v>0</v>
      </c>
    </row>
    <row r="9" customFormat="false" ht="15" hidden="false" customHeight="false" outlineLevel="0" collapsed="false">
      <c r="A9" s="20" t="s">
        <v>145</v>
      </c>
      <c r="B9" s="29" t="n">
        <f aca="false">COUNTIFS(Checklist!$C$9:$C$111,"&lt;&gt;",Checklist!$B$9:$B$111,$A9)</f>
        <v>7</v>
      </c>
      <c r="C9" s="29" t="n">
        <f aca="false">B9-COUNTIFS(Checklist!$C$9:$C$111,"&lt;&gt;",Checklist!$B$9:$B$111,$A9,Checklist!$H$9:$H$111,"N/A")</f>
        <v>7</v>
      </c>
      <c r="D9" s="29" t="n">
        <f aca="false">COUNTIFS(Checklist!$C$9:$C$111,"&lt;&gt;",Checklist!$B$9:$B$111,$A9,Checklist!$H$9:$H$111,"Done")</f>
        <v>0</v>
      </c>
      <c r="E9" s="29" t="n">
        <f aca="false">COUNTIFS(Checklist!$C$9:$C$111,"&lt;&gt;",Checklist!$B$9:$B$111,$A9,Checklist!$H$9:$H$111,"In progress")</f>
        <v>0</v>
      </c>
      <c r="F9" s="29" t="n">
        <f aca="false">COUNTIFS(Checklist!$C$9:$C$111,"&lt;&gt;",Checklist!$B$9:$B$111,$A9,Checklist!$H$9:$H$111,"Blocked")</f>
        <v>0</v>
      </c>
      <c r="G9" s="29" t="n">
        <f aca="false">C9-D9-E9-F9</f>
        <v>7</v>
      </c>
      <c r="H9" s="29" t="n">
        <f aca="false">COUNTIFS(Checklist!$C$9:$C$111,"&lt;&gt;",Checklist!$B$9:$B$111,$A9,Checklist!$J$9:$J$111,"OVERDUE")</f>
        <v>0</v>
      </c>
      <c r="I9" s="30" t="n">
        <f aca="false">IF(C9=0,"n/a",D9/C9)</f>
        <v>0</v>
      </c>
    </row>
    <row r="10" customFormat="false" ht="15" hidden="false" customHeight="false" outlineLevel="0" collapsed="false">
      <c r="A10" s="20" t="s">
        <v>167</v>
      </c>
      <c r="B10" s="29" t="n">
        <f aca="false">COUNTIFS(Checklist!$C$9:$C$111,"&lt;&gt;",Checklist!$B$9:$B$111,$A10)</f>
        <v>7</v>
      </c>
      <c r="C10" s="29" t="n">
        <f aca="false">B10-COUNTIFS(Checklist!$C$9:$C$111,"&lt;&gt;",Checklist!$B$9:$B$111,$A10,Checklist!$H$9:$H$111,"N/A")</f>
        <v>7</v>
      </c>
      <c r="D10" s="29" t="n">
        <f aca="false">COUNTIFS(Checklist!$C$9:$C$111,"&lt;&gt;",Checklist!$B$9:$B$111,$A10,Checklist!$H$9:$H$111,"Done")</f>
        <v>0</v>
      </c>
      <c r="E10" s="29" t="n">
        <f aca="false">COUNTIFS(Checklist!$C$9:$C$111,"&lt;&gt;",Checklist!$B$9:$B$111,$A10,Checklist!$H$9:$H$111,"In progress")</f>
        <v>0</v>
      </c>
      <c r="F10" s="29" t="n">
        <f aca="false">COUNTIFS(Checklist!$C$9:$C$111,"&lt;&gt;",Checklist!$B$9:$B$111,$A10,Checklist!$H$9:$H$111,"Blocked")</f>
        <v>0</v>
      </c>
      <c r="G10" s="29" t="n">
        <f aca="false">C10-D10-E10-F10</f>
        <v>7</v>
      </c>
      <c r="H10" s="29" t="n">
        <f aca="false">COUNTIFS(Checklist!$C$9:$C$111,"&lt;&gt;",Checklist!$B$9:$B$111,$A10,Checklist!$J$9:$J$111,"OVERDUE")</f>
        <v>0</v>
      </c>
      <c r="I10" s="30" t="n">
        <f aca="false">IF(C10=0,"n/a",D10/C10)</f>
        <v>0</v>
      </c>
    </row>
    <row r="11" customFormat="false" ht="15" hidden="false" customHeight="false" outlineLevel="0" collapsed="false">
      <c r="A11" s="19" t="s">
        <v>198</v>
      </c>
      <c r="B11" s="31" t="n">
        <f aca="false">COUNTIFS(Checklist!$C$9:$C$111,"&lt;&gt;")</f>
        <v>43</v>
      </c>
      <c r="C11" s="31" t="n">
        <f aca="false">B11-COUNTIFS(Checklist!$C$9:$C$111,"&lt;&gt;",Checklist!$H$9:$H$111,"N/A")</f>
        <v>43</v>
      </c>
      <c r="D11" s="31" t="n">
        <f aca="false">COUNTIFS(Checklist!$C$9:$C$111,"&lt;&gt;",Checklist!$H$9:$H$111,"Done")</f>
        <v>0</v>
      </c>
      <c r="E11" s="31" t="n">
        <f aca="false">COUNTIFS(Checklist!$C$9:$C$111,"&lt;&gt;",Checklist!$H$9:$H$111,"In progress")</f>
        <v>0</v>
      </c>
      <c r="F11" s="31" t="n">
        <f aca="false">COUNTIFS(Checklist!$C$9:$C$111,"&lt;&gt;",Checklist!$H$9:$H$111,"Blocked")</f>
        <v>0</v>
      </c>
      <c r="G11" s="31" t="n">
        <f aca="false">C11-D11-E11-F11</f>
        <v>43</v>
      </c>
      <c r="H11" s="31" t="n">
        <f aca="false">COUNTIFS(Checklist!$C$9:$C$111,"&lt;&gt;",Checklist!$J$9:$J$111,"OVERDUE")</f>
        <v>0</v>
      </c>
      <c r="I11" s="32" t="n">
        <f aca="false">IF(C11=0,"n/a",D11/C11)</f>
        <v>0</v>
      </c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</row>
    <row r="13" customFormat="false" ht="18" hidden="false" customHeight="true" outlineLevel="0" collapsed="false">
      <c r="A13" s="27" t="s">
        <v>199</v>
      </c>
      <c r="B13" s="28"/>
      <c r="C13" s="28"/>
      <c r="D13" s="28"/>
      <c r="E13" s="28"/>
      <c r="F13" s="28"/>
      <c r="G13" s="28"/>
      <c r="H13" s="28"/>
      <c r="I13" s="28"/>
    </row>
    <row r="14" customFormat="false" ht="30" hidden="false" customHeight="true" outlineLevel="0" collapsed="false">
      <c r="A14" s="18" t="s">
        <v>200</v>
      </c>
      <c r="B14" s="18" t="s">
        <v>201</v>
      </c>
      <c r="C14" s="18" t="s">
        <v>202</v>
      </c>
      <c r="D14" s="18" t="s">
        <v>203</v>
      </c>
      <c r="E14" s="18" t="s">
        <v>194</v>
      </c>
      <c r="F14" s="18" t="s">
        <v>204</v>
      </c>
      <c r="G14" s="18"/>
      <c r="H14" s="18"/>
      <c r="I14" s="18"/>
    </row>
    <row r="15" customFormat="false" ht="30" hidden="false" customHeight="true" outlineLevel="0" collapsed="false">
      <c r="A15" s="19" t="s">
        <v>205</v>
      </c>
      <c r="B15" s="29" t="n">
        <f aca="false">COUNTIFS(Checklist!$B$9:$B$111,"1. Readiness &amp; planning",Checklist!$E$9:$E$111,"Gate")+COUNTIFS(Checklist!$B$9:$B$111,"2. Build &amp; rehearsal",Checklist!$E$9:$E$111,"Gate")</f>
        <v>10</v>
      </c>
      <c r="C15" s="29" t="n">
        <f aca="false">COUNTIFS(Checklist!$B$9:$B$111,"1. Readiness &amp; planning",Checklist!$E$9:$E$111,"Gate",Checklist!$H$9:$H$111,"Done")+COUNTIFS(Checklist!$B$9:$B$111,"2. Build &amp; rehearsal",Checklist!$E$9:$E$111,"Gate",Checklist!$H$9:$H$111,"Done")+COUNTIFS(Checklist!$B$9:$B$111,"1. Readiness &amp; planning",Checklist!$E$9:$E$111,"Gate",Checklist!$H$9:$H$111,"N/A")+COUNTIFS(Checklist!$B$9:$B$111,"2. Build &amp; rehearsal",Checklist!$E$9:$E$111,"Gate",Checklist!$H$9:$H$111,"N/A")</f>
        <v>0</v>
      </c>
      <c r="D15" s="29" t="n">
        <f aca="false">B15-C15</f>
        <v>10</v>
      </c>
      <c r="E15" s="29" t="n">
        <f aca="false">COUNTIFS(Checklist!$B$9:$B$111,"1. Readiness &amp; planning",Checklist!$E$9:$E$111,"Gate",Checklist!$H$9:$H$111,"Blocked")+COUNTIFS(Checklist!$B$9:$B$111,"2. Build &amp; rehearsal",Checklist!$E$9:$E$111,"Gate",Checklist!$H$9:$H$111,"Blocked")</f>
        <v>0</v>
      </c>
      <c r="F15" s="33" t="str">
        <f aca="false">IF(B15=0,"No gate checks defined",IF((COUNTIFS(Checklist!$B$9:$B$111,"1. Readiness &amp; planning",Checklist!$E$9:$E$111,"Gate",Checklist!$H$9:$H$111,"&lt;&gt;")+COUNTIFS(Checklist!$B$9:$B$111,"2. Build &amp; rehearsal",Checklist!$E$9:$E$111,"Gate",Checklist!$H$9:$H$111,"&lt;&gt;"))=0,"NOT STARTED — no gate check has a status yet",IF(D15&gt;0,"NOT READY — "&amp;D15&amp;" of "&amp;B15&amp;" gate checks open"&amp;IF(E15&gt;0," ("&amp;E15&amp;" blocked)",""),"READY — all gate checks Done or N/A; decision rests with the go/no-go authority")))</f>
        <v>NOT STARTED — no gate check has a status yet</v>
      </c>
      <c r="G15" s="33"/>
      <c r="H15" s="33"/>
      <c r="I15" s="33"/>
    </row>
    <row r="16" customFormat="false" ht="30" hidden="false" customHeight="true" outlineLevel="0" collapsed="false">
      <c r="A16" s="19" t="s">
        <v>206</v>
      </c>
      <c r="B16" s="29" t="n">
        <f aca="false">COUNTIFS(Checklist!$B$9:$B$111,"4. Validation &amp; reconciliation",Checklist!$E$9:$E$111,"Gate")</f>
        <v>6</v>
      </c>
      <c r="C16" s="29" t="n">
        <f aca="false">COUNTIFS(Checklist!$B$9:$B$111,"4. Validation &amp; reconciliation",Checklist!$E$9:$E$111,"Gate",Checklist!$H$9:$H$111,"Done")+COUNTIFS(Checklist!$B$9:$B$111,"4. Validation &amp; reconciliation",Checklist!$E$9:$E$111,"Gate",Checklist!$H$9:$H$111,"N/A")</f>
        <v>0</v>
      </c>
      <c r="D16" s="29" t="n">
        <f aca="false">B16-C16</f>
        <v>6</v>
      </c>
      <c r="E16" s="29" t="n">
        <f aca="false">COUNTIFS(Checklist!$B$9:$B$111,"4. Validation &amp; reconciliation",Checklist!$E$9:$E$111,"Gate",Checklist!$H$9:$H$111,"Blocked")</f>
        <v>0</v>
      </c>
      <c r="F16" s="33" t="str">
        <f aca="false">IF(B16=0,"No gate checks defined",IF((COUNTIFS(Checklist!$B$9:$B$111,"4. Validation &amp; reconciliation",Checklist!$E$9:$E$111,"Gate",Checklist!$H$9:$H$111,"&lt;&gt;"))=0,"NOT STARTED — no gate check has a status yet",IF(D16&gt;0,"NOT READY — "&amp;D16&amp;" of "&amp;B16&amp;" gate checks open"&amp;IF(E16&gt;0," ("&amp;E16&amp;" blocked)",""),"READY — all gate checks Done or N/A; decision rests with the go/no-go authority")))</f>
        <v>NOT STARTED — no gate check has a status yet</v>
      </c>
      <c r="G16" s="33"/>
      <c r="H16" s="33"/>
      <c r="I16" s="33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</row>
    <row r="18" customFormat="false" ht="18" hidden="false" customHeight="true" outlineLevel="0" collapsed="false">
      <c r="A18" s="27" t="s">
        <v>207</v>
      </c>
      <c r="B18" s="28"/>
      <c r="C18" s="28"/>
      <c r="D18" s="28"/>
      <c r="E18" s="28"/>
      <c r="F18" s="28"/>
      <c r="G18" s="28"/>
      <c r="H18" s="28"/>
      <c r="I18" s="28"/>
    </row>
    <row r="19" customFormat="false" ht="30" hidden="false" customHeight="true" outlineLevel="0" collapsed="false">
      <c r="A19" s="18" t="s">
        <v>42</v>
      </c>
      <c r="B19" s="18" t="s">
        <v>44</v>
      </c>
      <c r="C19" s="18"/>
      <c r="D19" s="18"/>
      <c r="E19" s="18"/>
      <c r="F19" s="18" t="s">
        <v>47</v>
      </c>
      <c r="G19" s="18" t="s">
        <v>48</v>
      </c>
      <c r="H19" s="18" t="s">
        <v>49</v>
      </c>
      <c r="I19" s="18" t="s">
        <v>51</v>
      </c>
    </row>
    <row r="20" customFormat="false" ht="27.75" hidden="false" customHeight="true" outlineLevel="0" collapsed="false">
      <c r="A20" s="34" t="str">
        <f aca="false">IFERROR(INDEX(Checklist!$A$9:$A$111,MATCH(1,Checklist!$K$9:$K$111,0)),"")</f>
        <v/>
      </c>
      <c r="B20" s="35" t="str">
        <f aca="false">IFERROR(INDEX(Checklist!$C$9:$C$111,MATCH(1,Checklist!$K$9:$K$111,0)),"")</f>
        <v/>
      </c>
      <c r="C20" s="35"/>
      <c r="D20" s="35"/>
      <c r="E20" s="35"/>
      <c r="F20" s="34" t="str">
        <f aca="false">IFERROR(INDEX(Checklist!$F$9:$F$111,MATCH(1,Checklist!$K$9:$K$111,0))&amp;"","")</f>
        <v/>
      </c>
      <c r="G20" s="36" t="str">
        <f aca="false">IFERROR(IF(INDEX(Checklist!$G$9:$G$111,MATCH(1,Checklist!$K$9:$K$111,0))="","",INDEX(Checklist!$G$9:$G$111,MATCH(1,Checklist!$K$9:$K$111,0))),"")</f>
        <v/>
      </c>
      <c r="H20" s="34" t="str">
        <f aca="false">IFERROR(INDEX(Checklist!$H$9:$H$111,MATCH(1,Checklist!$K$9:$K$111,0)),"")</f>
        <v/>
      </c>
      <c r="I20" s="34" t="str">
        <f aca="false">IFERROR(INDEX(Checklist!$J$9:$J$111,MATCH(1,Checklist!$K$9:$K$111,0)),"")</f>
        <v/>
      </c>
    </row>
    <row r="21" customFormat="false" ht="27.75" hidden="false" customHeight="true" outlineLevel="0" collapsed="false">
      <c r="A21" s="34" t="str">
        <f aca="false">IFERROR(INDEX(Checklist!$A$9:$A$111,MATCH(2,Checklist!$K$9:$K$111,0)),"")</f>
        <v/>
      </c>
      <c r="B21" s="35" t="str">
        <f aca="false">IFERROR(INDEX(Checklist!$C$9:$C$111,MATCH(2,Checklist!$K$9:$K$111,0)),"")</f>
        <v/>
      </c>
      <c r="C21" s="35"/>
      <c r="D21" s="35"/>
      <c r="E21" s="35"/>
      <c r="F21" s="34" t="str">
        <f aca="false">IFERROR(INDEX(Checklist!$F$9:$F$111,MATCH(2,Checklist!$K$9:$K$111,0))&amp;"","")</f>
        <v/>
      </c>
      <c r="G21" s="36" t="str">
        <f aca="false">IFERROR(IF(INDEX(Checklist!$G$9:$G$111,MATCH(2,Checklist!$K$9:$K$111,0))="","",INDEX(Checklist!$G$9:$G$111,MATCH(2,Checklist!$K$9:$K$111,0))),"")</f>
        <v/>
      </c>
      <c r="H21" s="34" t="str">
        <f aca="false">IFERROR(INDEX(Checklist!$H$9:$H$111,MATCH(2,Checklist!$K$9:$K$111,0)),"")</f>
        <v/>
      </c>
      <c r="I21" s="34" t="str">
        <f aca="false">IFERROR(INDEX(Checklist!$J$9:$J$111,MATCH(2,Checklist!$K$9:$K$111,0)),"")</f>
        <v/>
      </c>
    </row>
    <row r="22" customFormat="false" ht="27.75" hidden="false" customHeight="true" outlineLevel="0" collapsed="false">
      <c r="A22" s="34" t="str">
        <f aca="false">IFERROR(INDEX(Checklist!$A$9:$A$111,MATCH(3,Checklist!$K$9:$K$111,0)),"")</f>
        <v/>
      </c>
      <c r="B22" s="35" t="str">
        <f aca="false">IFERROR(INDEX(Checklist!$C$9:$C$111,MATCH(3,Checklist!$K$9:$K$111,0)),"")</f>
        <v/>
      </c>
      <c r="C22" s="35"/>
      <c r="D22" s="35"/>
      <c r="E22" s="35"/>
      <c r="F22" s="34" t="str">
        <f aca="false">IFERROR(INDEX(Checklist!$F$9:$F$111,MATCH(3,Checklist!$K$9:$K$111,0))&amp;"","")</f>
        <v/>
      </c>
      <c r="G22" s="36" t="str">
        <f aca="false">IFERROR(IF(INDEX(Checklist!$G$9:$G$111,MATCH(3,Checklist!$K$9:$K$111,0))="","",INDEX(Checklist!$G$9:$G$111,MATCH(3,Checklist!$K$9:$K$111,0))),"")</f>
        <v/>
      </c>
      <c r="H22" s="34" t="str">
        <f aca="false">IFERROR(INDEX(Checklist!$H$9:$H$111,MATCH(3,Checklist!$K$9:$K$111,0)),"")</f>
        <v/>
      </c>
      <c r="I22" s="34" t="str">
        <f aca="false">IFERROR(INDEX(Checklist!$J$9:$J$111,MATCH(3,Checklist!$K$9:$K$111,0)),"")</f>
        <v/>
      </c>
    </row>
    <row r="23" customFormat="false" ht="27.75" hidden="false" customHeight="true" outlineLevel="0" collapsed="false">
      <c r="A23" s="34" t="str">
        <f aca="false">IFERROR(INDEX(Checklist!$A$9:$A$111,MATCH(4,Checklist!$K$9:$K$111,0)),"")</f>
        <v/>
      </c>
      <c r="B23" s="35" t="str">
        <f aca="false">IFERROR(INDEX(Checklist!$C$9:$C$111,MATCH(4,Checklist!$K$9:$K$111,0)),"")</f>
        <v/>
      </c>
      <c r="C23" s="35"/>
      <c r="D23" s="35"/>
      <c r="E23" s="35"/>
      <c r="F23" s="34" t="str">
        <f aca="false">IFERROR(INDEX(Checklist!$F$9:$F$111,MATCH(4,Checklist!$K$9:$K$111,0))&amp;"","")</f>
        <v/>
      </c>
      <c r="G23" s="36" t="str">
        <f aca="false">IFERROR(IF(INDEX(Checklist!$G$9:$G$111,MATCH(4,Checklist!$K$9:$K$111,0))="","",INDEX(Checklist!$G$9:$G$111,MATCH(4,Checklist!$K$9:$K$111,0))),"")</f>
        <v/>
      </c>
      <c r="H23" s="34" t="str">
        <f aca="false">IFERROR(INDEX(Checklist!$H$9:$H$111,MATCH(4,Checklist!$K$9:$K$111,0)),"")</f>
        <v/>
      </c>
      <c r="I23" s="34" t="str">
        <f aca="false">IFERROR(INDEX(Checklist!$J$9:$J$111,MATCH(4,Checklist!$K$9:$K$111,0)),"")</f>
        <v/>
      </c>
    </row>
    <row r="24" customFormat="false" ht="27.75" hidden="false" customHeight="true" outlineLevel="0" collapsed="false">
      <c r="A24" s="34" t="str">
        <f aca="false">IFERROR(INDEX(Checklist!$A$9:$A$111,MATCH(5,Checklist!$K$9:$K$111,0)),"")</f>
        <v/>
      </c>
      <c r="B24" s="35" t="str">
        <f aca="false">IFERROR(INDEX(Checklist!$C$9:$C$111,MATCH(5,Checklist!$K$9:$K$111,0)),"")</f>
        <v/>
      </c>
      <c r="C24" s="35"/>
      <c r="D24" s="35"/>
      <c r="E24" s="35"/>
      <c r="F24" s="34" t="str">
        <f aca="false">IFERROR(INDEX(Checklist!$F$9:$F$111,MATCH(5,Checklist!$K$9:$K$111,0))&amp;"","")</f>
        <v/>
      </c>
      <c r="G24" s="36" t="str">
        <f aca="false">IFERROR(IF(INDEX(Checklist!$G$9:$G$111,MATCH(5,Checklist!$K$9:$K$111,0))="","",INDEX(Checklist!$G$9:$G$111,MATCH(5,Checklist!$K$9:$K$111,0))),"")</f>
        <v/>
      </c>
      <c r="H24" s="34" t="str">
        <f aca="false">IFERROR(INDEX(Checklist!$H$9:$H$111,MATCH(5,Checklist!$K$9:$K$111,0)),"")</f>
        <v/>
      </c>
      <c r="I24" s="34" t="str">
        <f aca="false">IFERROR(INDEX(Checklist!$J$9:$J$111,MATCH(5,Checklist!$K$9:$K$111,0)),"")</f>
        <v/>
      </c>
    </row>
    <row r="25" customFormat="false" ht="27.75" hidden="false" customHeight="true" outlineLevel="0" collapsed="false">
      <c r="A25" s="34" t="str">
        <f aca="false">IFERROR(INDEX(Checklist!$A$9:$A$111,MATCH(6,Checklist!$K$9:$K$111,0)),"")</f>
        <v/>
      </c>
      <c r="B25" s="35" t="str">
        <f aca="false">IFERROR(INDEX(Checklist!$C$9:$C$111,MATCH(6,Checklist!$K$9:$K$111,0)),"")</f>
        <v/>
      </c>
      <c r="C25" s="35"/>
      <c r="D25" s="35"/>
      <c r="E25" s="35"/>
      <c r="F25" s="34" t="str">
        <f aca="false">IFERROR(INDEX(Checklist!$F$9:$F$111,MATCH(6,Checklist!$K$9:$K$111,0))&amp;"","")</f>
        <v/>
      </c>
      <c r="G25" s="36" t="str">
        <f aca="false">IFERROR(IF(INDEX(Checklist!$G$9:$G$111,MATCH(6,Checklist!$K$9:$K$111,0))="","",INDEX(Checklist!$G$9:$G$111,MATCH(6,Checklist!$K$9:$K$111,0))),"")</f>
        <v/>
      </c>
      <c r="H25" s="34" t="str">
        <f aca="false">IFERROR(INDEX(Checklist!$H$9:$H$111,MATCH(6,Checklist!$K$9:$K$111,0)),"")</f>
        <v/>
      </c>
      <c r="I25" s="34" t="str">
        <f aca="false">IFERROR(INDEX(Checklist!$J$9:$J$111,MATCH(6,Checklist!$K$9:$K$111,0)),"")</f>
        <v/>
      </c>
    </row>
    <row r="26" customFormat="false" ht="27.75" hidden="false" customHeight="true" outlineLevel="0" collapsed="false">
      <c r="A26" s="34" t="str">
        <f aca="false">IFERROR(INDEX(Checklist!$A$9:$A$111,MATCH(7,Checklist!$K$9:$K$111,0)),"")</f>
        <v/>
      </c>
      <c r="B26" s="35" t="str">
        <f aca="false">IFERROR(INDEX(Checklist!$C$9:$C$111,MATCH(7,Checklist!$K$9:$K$111,0)),"")</f>
        <v/>
      </c>
      <c r="C26" s="35"/>
      <c r="D26" s="35"/>
      <c r="E26" s="35"/>
      <c r="F26" s="34" t="str">
        <f aca="false">IFERROR(INDEX(Checklist!$F$9:$F$111,MATCH(7,Checklist!$K$9:$K$111,0))&amp;"","")</f>
        <v/>
      </c>
      <c r="G26" s="36" t="str">
        <f aca="false">IFERROR(IF(INDEX(Checklist!$G$9:$G$111,MATCH(7,Checklist!$K$9:$K$111,0))="","",INDEX(Checklist!$G$9:$G$111,MATCH(7,Checklist!$K$9:$K$111,0))),"")</f>
        <v/>
      </c>
      <c r="H26" s="34" t="str">
        <f aca="false">IFERROR(INDEX(Checklist!$H$9:$H$111,MATCH(7,Checklist!$K$9:$K$111,0)),"")</f>
        <v/>
      </c>
      <c r="I26" s="34" t="str">
        <f aca="false">IFERROR(INDEX(Checklist!$J$9:$J$111,MATCH(7,Checklist!$K$9:$K$111,0)),"")</f>
        <v/>
      </c>
    </row>
    <row r="27" customFormat="false" ht="27.75" hidden="false" customHeight="true" outlineLevel="0" collapsed="false">
      <c r="A27" s="34" t="str">
        <f aca="false">IFERROR(INDEX(Checklist!$A$9:$A$111,MATCH(8,Checklist!$K$9:$K$111,0)),"")</f>
        <v/>
      </c>
      <c r="B27" s="35" t="str">
        <f aca="false">IFERROR(INDEX(Checklist!$C$9:$C$111,MATCH(8,Checklist!$K$9:$K$111,0)),"")</f>
        <v/>
      </c>
      <c r="C27" s="35"/>
      <c r="D27" s="35"/>
      <c r="E27" s="35"/>
      <c r="F27" s="34" t="str">
        <f aca="false">IFERROR(INDEX(Checklist!$F$9:$F$111,MATCH(8,Checklist!$K$9:$K$111,0))&amp;"","")</f>
        <v/>
      </c>
      <c r="G27" s="36" t="str">
        <f aca="false">IFERROR(IF(INDEX(Checklist!$G$9:$G$111,MATCH(8,Checklist!$K$9:$K$111,0))="","",INDEX(Checklist!$G$9:$G$111,MATCH(8,Checklist!$K$9:$K$111,0))),"")</f>
        <v/>
      </c>
      <c r="H27" s="34" t="str">
        <f aca="false">IFERROR(INDEX(Checklist!$H$9:$H$111,MATCH(8,Checklist!$K$9:$K$111,0)),"")</f>
        <v/>
      </c>
      <c r="I27" s="34" t="str">
        <f aca="false">IFERROR(INDEX(Checklist!$J$9:$J$111,MATCH(8,Checklist!$K$9:$K$111,0)),"")</f>
        <v/>
      </c>
    </row>
    <row r="28" customFormat="false" ht="27.75" hidden="false" customHeight="true" outlineLevel="0" collapsed="false">
      <c r="A28" s="34" t="str">
        <f aca="false">IFERROR(INDEX(Checklist!$A$9:$A$111,MATCH(9,Checklist!$K$9:$K$111,0)),"")</f>
        <v/>
      </c>
      <c r="B28" s="35" t="str">
        <f aca="false">IFERROR(INDEX(Checklist!$C$9:$C$111,MATCH(9,Checklist!$K$9:$K$111,0)),"")</f>
        <v/>
      </c>
      <c r="C28" s="35"/>
      <c r="D28" s="35"/>
      <c r="E28" s="35"/>
      <c r="F28" s="34" t="str">
        <f aca="false">IFERROR(INDEX(Checklist!$F$9:$F$111,MATCH(9,Checklist!$K$9:$K$111,0))&amp;"","")</f>
        <v/>
      </c>
      <c r="G28" s="36" t="str">
        <f aca="false">IFERROR(IF(INDEX(Checklist!$G$9:$G$111,MATCH(9,Checklist!$K$9:$K$111,0))="","",INDEX(Checklist!$G$9:$G$111,MATCH(9,Checklist!$K$9:$K$111,0))),"")</f>
        <v/>
      </c>
      <c r="H28" s="34" t="str">
        <f aca="false">IFERROR(INDEX(Checklist!$H$9:$H$111,MATCH(9,Checklist!$K$9:$K$111,0)),"")</f>
        <v/>
      </c>
      <c r="I28" s="34" t="str">
        <f aca="false">IFERROR(INDEX(Checklist!$J$9:$J$111,MATCH(9,Checklist!$K$9:$K$111,0)),"")</f>
        <v/>
      </c>
    </row>
    <row r="29" customFormat="false" ht="27.75" hidden="false" customHeight="true" outlineLevel="0" collapsed="false">
      <c r="A29" s="34" t="str">
        <f aca="false">IFERROR(INDEX(Checklist!$A$9:$A$111,MATCH(10,Checklist!$K$9:$K$111,0)),"")</f>
        <v/>
      </c>
      <c r="B29" s="35" t="str">
        <f aca="false">IFERROR(INDEX(Checklist!$C$9:$C$111,MATCH(10,Checklist!$K$9:$K$111,0)),"")</f>
        <v/>
      </c>
      <c r="C29" s="35"/>
      <c r="D29" s="35"/>
      <c r="E29" s="35"/>
      <c r="F29" s="34" t="str">
        <f aca="false">IFERROR(INDEX(Checklist!$F$9:$F$111,MATCH(10,Checklist!$K$9:$K$111,0))&amp;"","")</f>
        <v/>
      </c>
      <c r="G29" s="36" t="str">
        <f aca="false">IFERROR(IF(INDEX(Checklist!$G$9:$G$111,MATCH(10,Checklist!$K$9:$K$111,0))="","",INDEX(Checklist!$G$9:$G$111,MATCH(10,Checklist!$K$9:$K$111,0))),"")</f>
        <v/>
      </c>
      <c r="H29" s="34" t="str">
        <f aca="false">IFERROR(INDEX(Checklist!$H$9:$H$111,MATCH(10,Checklist!$K$9:$K$111,0)),"")</f>
        <v/>
      </c>
      <c r="I29" s="34" t="str">
        <f aca="false">IFERROR(INDEX(Checklist!$J$9:$J$111,MATCH(10,Checklist!$K$9:$K$111,0)),"")</f>
        <v/>
      </c>
    </row>
    <row r="30" customFormat="false" ht="27.75" hidden="false" customHeight="true" outlineLevel="0" collapsed="false">
      <c r="A30" s="34" t="str">
        <f aca="false">IFERROR(INDEX(Checklist!$A$9:$A$111,MATCH(11,Checklist!$K$9:$K$111,0)),"")</f>
        <v/>
      </c>
      <c r="B30" s="35" t="str">
        <f aca="false">IFERROR(INDEX(Checklist!$C$9:$C$111,MATCH(11,Checklist!$K$9:$K$111,0)),"")</f>
        <v/>
      </c>
      <c r="C30" s="35"/>
      <c r="D30" s="35"/>
      <c r="E30" s="35"/>
      <c r="F30" s="34" t="str">
        <f aca="false">IFERROR(INDEX(Checklist!$F$9:$F$111,MATCH(11,Checklist!$K$9:$K$111,0))&amp;"","")</f>
        <v/>
      </c>
      <c r="G30" s="36" t="str">
        <f aca="false">IFERROR(IF(INDEX(Checklist!$G$9:$G$111,MATCH(11,Checklist!$K$9:$K$111,0))="","",INDEX(Checklist!$G$9:$G$111,MATCH(11,Checklist!$K$9:$K$111,0))),"")</f>
        <v/>
      </c>
      <c r="H30" s="34" t="str">
        <f aca="false">IFERROR(INDEX(Checklist!$H$9:$H$111,MATCH(11,Checklist!$K$9:$K$111,0)),"")</f>
        <v/>
      </c>
      <c r="I30" s="34" t="str">
        <f aca="false">IFERROR(INDEX(Checklist!$J$9:$J$111,MATCH(11,Checklist!$K$9:$K$111,0)),"")</f>
        <v/>
      </c>
    </row>
    <row r="31" customFormat="false" ht="27.75" hidden="false" customHeight="true" outlineLevel="0" collapsed="false">
      <c r="A31" s="34" t="str">
        <f aca="false">IFERROR(INDEX(Checklist!$A$9:$A$111,MATCH(12,Checklist!$K$9:$K$111,0)),"")</f>
        <v/>
      </c>
      <c r="B31" s="35" t="str">
        <f aca="false">IFERROR(INDEX(Checklist!$C$9:$C$111,MATCH(12,Checklist!$K$9:$K$111,0)),"")</f>
        <v/>
      </c>
      <c r="C31" s="35"/>
      <c r="D31" s="35"/>
      <c r="E31" s="35"/>
      <c r="F31" s="34" t="str">
        <f aca="false">IFERROR(INDEX(Checklist!$F$9:$F$111,MATCH(12,Checklist!$K$9:$K$111,0))&amp;"","")</f>
        <v/>
      </c>
      <c r="G31" s="36" t="str">
        <f aca="false">IFERROR(IF(INDEX(Checklist!$G$9:$G$111,MATCH(12,Checklist!$K$9:$K$111,0))="","",INDEX(Checklist!$G$9:$G$111,MATCH(12,Checklist!$K$9:$K$111,0))),"")</f>
        <v/>
      </c>
      <c r="H31" s="34" t="str">
        <f aca="false">IFERROR(INDEX(Checklist!$H$9:$H$111,MATCH(12,Checklist!$K$9:$K$111,0)),"")</f>
        <v/>
      </c>
      <c r="I31" s="34" t="str">
        <f aca="false">IFERROR(INDEX(Checklist!$J$9:$J$111,MATCH(12,Checklist!$K$9:$K$111,0)),"")</f>
        <v/>
      </c>
    </row>
    <row r="32" customFormat="false" ht="27.75" hidden="false" customHeight="true" outlineLevel="0" collapsed="false">
      <c r="A32" s="34" t="str">
        <f aca="false">IFERROR(INDEX(Checklist!$A$9:$A$111,MATCH(13,Checklist!$K$9:$K$111,0)),"")</f>
        <v/>
      </c>
      <c r="B32" s="35" t="str">
        <f aca="false">IFERROR(INDEX(Checklist!$C$9:$C$111,MATCH(13,Checklist!$K$9:$K$111,0)),"")</f>
        <v/>
      </c>
      <c r="C32" s="35"/>
      <c r="D32" s="35"/>
      <c r="E32" s="35"/>
      <c r="F32" s="34" t="str">
        <f aca="false">IFERROR(INDEX(Checklist!$F$9:$F$111,MATCH(13,Checklist!$K$9:$K$111,0))&amp;"","")</f>
        <v/>
      </c>
      <c r="G32" s="36" t="str">
        <f aca="false">IFERROR(IF(INDEX(Checklist!$G$9:$G$111,MATCH(13,Checklist!$K$9:$K$111,0))="","",INDEX(Checklist!$G$9:$G$111,MATCH(13,Checklist!$K$9:$K$111,0))),"")</f>
        <v/>
      </c>
      <c r="H32" s="34" t="str">
        <f aca="false">IFERROR(INDEX(Checklist!$H$9:$H$111,MATCH(13,Checklist!$K$9:$K$111,0)),"")</f>
        <v/>
      </c>
      <c r="I32" s="34" t="str">
        <f aca="false">IFERROR(INDEX(Checklist!$J$9:$J$111,MATCH(13,Checklist!$K$9:$K$111,0)),"")</f>
        <v/>
      </c>
    </row>
    <row r="33" customFormat="false" ht="27.75" hidden="false" customHeight="true" outlineLevel="0" collapsed="false">
      <c r="A33" s="34" t="str">
        <f aca="false">IFERROR(INDEX(Checklist!$A$9:$A$111,MATCH(14,Checklist!$K$9:$K$111,0)),"")</f>
        <v/>
      </c>
      <c r="B33" s="35" t="str">
        <f aca="false">IFERROR(INDEX(Checklist!$C$9:$C$111,MATCH(14,Checklist!$K$9:$K$111,0)),"")</f>
        <v/>
      </c>
      <c r="C33" s="35"/>
      <c r="D33" s="35"/>
      <c r="E33" s="35"/>
      <c r="F33" s="34" t="str">
        <f aca="false">IFERROR(INDEX(Checklist!$F$9:$F$111,MATCH(14,Checklist!$K$9:$K$111,0))&amp;"","")</f>
        <v/>
      </c>
      <c r="G33" s="36" t="str">
        <f aca="false">IFERROR(IF(INDEX(Checklist!$G$9:$G$111,MATCH(14,Checklist!$K$9:$K$111,0))="","",INDEX(Checklist!$G$9:$G$111,MATCH(14,Checklist!$K$9:$K$111,0))),"")</f>
        <v/>
      </c>
      <c r="H33" s="34" t="str">
        <f aca="false">IFERROR(INDEX(Checklist!$H$9:$H$111,MATCH(14,Checklist!$K$9:$K$111,0)),"")</f>
        <v/>
      </c>
      <c r="I33" s="34" t="str">
        <f aca="false">IFERROR(INDEX(Checklist!$J$9:$J$111,MATCH(14,Checklist!$K$9:$K$111,0)),"")</f>
        <v/>
      </c>
    </row>
    <row r="34" customFormat="false" ht="27.75" hidden="false" customHeight="true" outlineLevel="0" collapsed="false">
      <c r="A34" s="34" t="str">
        <f aca="false">IFERROR(INDEX(Checklist!$A$9:$A$111,MATCH(15,Checklist!$K$9:$K$111,0)),"")</f>
        <v/>
      </c>
      <c r="B34" s="35" t="str">
        <f aca="false">IFERROR(INDEX(Checklist!$C$9:$C$111,MATCH(15,Checklist!$K$9:$K$111,0)),"")</f>
        <v/>
      </c>
      <c r="C34" s="35"/>
      <c r="D34" s="35"/>
      <c r="E34" s="35"/>
      <c r="F34" s="34" t="str">
        <f aca="false">IFERROR(INDEX(Checklist!$F$9:$F$111,MATCH(15,Checklist!$K$9:$K$111,0))&amp;"","")</f>
        <v/>
      </c>
      <c r="G34" s="36" t="str">
        <f aca="false">IFERROR(IF(INDEX(Checklist!$G$9:$G$111,MATCH(15,Checklist!$K$9:$K$111,0))="","",INDEX(Checklist!$G$9:$G$111,MATCH(15,Checklist!$K$9:$K$111,0))),"")</f>
        <v/>
      </c>
      <c r="H34" s="34" t="str">
        <f aca="false">IFERROR(INDEX(Checklist!$H$9:$H$111,MATCH(15,Checklist!$K$9:$K$111,0)),"")</f>
        <v/>
      </c>
      <c r="I34" s="34" t="str">
        <f aca="false">IFERROR(INDEX(Checklist!$J$9:$J$111,MATCH(15,Checklist!$K$9:$K$111,0)),"")</f>
        <v/>
      </c>
    </row>
    <row r="35" customFormat="false" ht="15" hidden="false" customHeight="false" outlineLevel="0" collapsed="false">
      <c r="A35" s="37" t="str">
        <f aca="false">IF(COUNT(Checklist!$K$9:$K$111)=0,"No blocked or overdue checks.",IF(COUNT(Checklist!$K$9:$K$111)&gt;15,"Showing 15 of "&amp;COUNT(Checklist!$K$9:$K$111)&amp;" — filter the Checklist Flag column for the full list.",""))</f>
        <v>No blocked or overdue checks.</v>
      </c>
      <c r="B35" s="1"/>
      <c r="C35" s="1"/>
      <c r="D35" s="1"/>
      <c r="E35" s="1"/>
      <c r="F35" s="1"/>
      <c r="G35" s="1"/>
      <c r="H35" s="1"/>
      <c r="I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5" hidden="false" customHeight="false" outlineLevel="0" collapsed="false">
      <c r="A37" s="37" t="s">
        <v>208</v>
      </c>
      <c r="B37" s="1"/>
      <c r="C37" s="1"/>
      <c r="D37" s="1"/>
      <c r="E37" s="1"/>
      <c r="F37" s="1"/>
      <c r="G37" s="1"/>
      <c r="H37" s="1"/>
      <c r="I37" s="1"/>
    </row>
  </sheetData>
  <sheetProtection sheet="true"/>
  <mergeCells count="19">
    <mergeCell ref="F14:I14"/>
    <mergeCell ref="F15:I15"/>
    <mergeCell ref="F16:I16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</mergeCells>
  <conditionalFormatting sqref="I6:I11">
    <cfRule type="expression" priority="2" aboveAverage="0" equalAverage="0" bottom="0" percent="0" rank="0" text="" dxfId="9">
      <formula>AND(ISNUMBER(I6),I6=1)</formula>
    </cfRule>
  </conditionalFormatting>
  <conditionalFormatting sqref="F15:F16">
    <cfRule type="expression" priority="3" aboveAverage="0" equalAverage="0" bottom="0" percent="0" rank="0" text="" dxfId="9">
      <formula>LEFT(F15,5)="READY"</formula>
    </cfRule>
    <cfRule type="expression" priority="4" aboveAverage="0" equalAverage="0" bottom="0" percent="0" rank="0" text="" dxfId="7">
      <formula>LEFT(F15,9)="NOT READY"</formula>
    </cfRule>
  </conditionalFormatting>
  <printOptions headings="false" gridLines="false" gridLinesSet="true" horizontalCentered="false" verticalCentered="false"/>
  <pageMargins left="0.75" right="0.75" top="1" bottom="0.6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This resource is provided under the dataintelligenceinsights.com Standard Use Licence v1.0. © dataintelligenceinsights.com. All rights reserved.&amp;R&amp;7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  <col collapsed="false" customWidth="true" hidden="false" outlineLevel="0" max="3" min="3" style="0" width="32"/>
  </cols>
  <sheetData>
    <row r="1" customFormat="false" ht="30" hidden="false" customHeight="true" outlineLevel="0" collapsed="false">
      <c r="A1" s="18" t="s">
        <v>49</v>
      </c>
      <c r="B1" s="18" t="s">
        <v>46</v>
      </c>
      <c r="C1" s="18" t="s">
        <v>43</v>
      </c>
    </row>
    <row r="2" customFormat="false" ht="15" hidden="false" customHeight="false" outlineLevel="0" collapsed="false">
      <c r="A2" s="1" t="s">
        <v>195</v>
      </c>
      <c r="B2" s="1" t="s">
        <v>46</v>
      </c>
      <c r="C2" s="1" t="s">
        <v>54</v>
      </c>
    </row>
    <row r="3" customFormat="false" ht="15" hidden="false" customHeight="false" outlineLevel="0" collapsed="false">
      <c r="A3" s="1" t="s">
        <v>193</v>
      </c>
      <c r="B3" s="1" t="s">
        <v>66</v>
      </c>
      <c r="C3" s="1" t="s">
        <v>95</v>
      </c>
    </row>
    <row r="4" customFormat="false" ht="15" hidden="false" customHeight="false" outlineLevel="0" collapsed="false">
      <c r="A4" s="1" t="s">
        <v>192</v>
      </c>
      <c r="B4" s="1"/>
      <c r="C4" s="1" t="s">
        <v>123</v>
      </c>
    </row>
    <row r="5" customFormat="false" ht="15" hidden="false" customHeight="false" outlineLevel="0" collapsed="false">
      <c r="A5" s="1" t="s">
        <v>194</v>
      </c>
      <c r="B5" s="1"/>
      <c r="C5" s="1" t="s">
        <v>145</v>
      </c>
    </row>
    <row r="6" customFormat="false" ht="15" hidden="false" customHeight="false" outlineLevel="0" collapsed="false">
      <c r="A6" s="1" t="s">
        <v>209</v>
      </c>
      <c r="B6" s="1"/>
      <c r="C6" s="1" t="s">
        <v>167</v>
      </c>
    </row>
  </sheetData>
  <printOptions headings="false" gridLines="false" gridLinesSet="true" horizontalCentered="false" verticalCentered="false"/>
  <pageMargins left="0.75" right="0.75" top="1" bottom="0.6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This resource is provided under the dataintelligenceinsights.com Standard Use Licence v1.0. © dataintelligenceinsights.com. All rights reserved.&amp;R&amp;7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dataintelligenceinsights.com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2026-10-02T07:19:51Z</dcterms:created>
  <dc:creator>dataintelligenceinsights.com</dc:creator>
  <dc:description/>
  <cp:keywords>data platform migration cutover reconciliation go/no-go</cp:keywords>
  <dc:language>en-GB</dc:language>
  <cp:lastModifiedBy>dataintelligenceinsights.com</cp:lastModifiedBy>
  <dcterms:modified xsi:type="dcterms:W3CDTF">2026-10-02T07:19:51Z</dcterms:modified>
  <cp:revision>0</cp:revision>
  <dc:subject>Checklist for data platform migration execution</dc:subject>
  <dc:title>Migration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